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03 Council Packages 2026\02-03-2026 Council Package\"/>
    </mc:Choice>
  </mc:AlternateContent>
  <xr:revisionPtr revIDLastSave="0" documentId="8_{433E54B4-9B3B-4081-A693-E35329081636}" xr6:coauthVersionLast="47" xr6:coauthVersionMax="47" xr10:uidLastSave="{00000000-0000-0000-0000-000000000000}"/>
  <bookViews>
    <workbookView xWindow="1920" yWindow="1920" windowWidth="17280" windowHeight="8880" tabRatio="931" xr2:uid="{00000000-000D-0000-FFFF-FFFF00000000}"/>
  </bookViews>
  <sheets>
    <sheet name="Summary" sheetId="1" r:id="rId1"/>
    <sheet name="Bldg ByLaw Accts" sheetId="7" state="hidden" r:id="rId2"/>
    <sheet name="Cons Auth Accts" sheetId="6" state="hidden" r:id="rId3"/>
    <sheet name="Emerg Planning Accts" sheetId="8" state="hidden" r:id="rId4"/>
    <sheet name="Fire Accts" sheetId="4" state="hidden" r:id="rId5"/>
    <sheet name="Gen Gov't Accts" sheetId="2" state="hidden" r:id="rId6"/>
    <sheet name="Health Accts" sheetId="11" state="hidden" r:id="rId7"/>
    <sheet name="Library Accts" sheetId="3" state="hidden" r:id="rId8"/>
    <sheet name="Parks and Rec Accts" sheetId="12" state="hidden" r:id="rId9"/>
    <sheet name="Planning Accts" sheetId="13" state="hidden" r:id="rId10"/>
    <sheet name="Police Services Accts" sheetId="5" state="hidden" r:id="rId11"/>
    <sheet name="Public Works Accts" sheetId="9" state="hidden" r:id="rId12"/>
    <sheet name="Waste Accts" sheetId="10" state="hidden" r:id="rId13"/>
    <sheet name="Building ByLaw" sheetId="15" r:id="rId14"/>
    <sheet name="Crowe Valley" sheetId="16" r:id="rId15"/>
    <sheet name="Emergency Planning" sheetId="17" r:id="rId16"/>
    <sheet name="Fire" sheetId="18" r:id="rId17"/>
    <sheet name="General Govt" sheetId="19" r:id="rId18"/>
    <sheet name="Health" sheetId="20" r:id="rId19"/>
    <sheet name="Library" sheetId="21" r:id="rId20"/>
    <sheet name="Parks and Rec" sheetId="22" r:id="rId21"/>
    <sheet name="Planning" sheetId="23" r:id="rId22"/>
    <sheet name="Policing" sheetId="24" r:id="rId23"/>
    <sheet name="Public Works" sheetId="25" r:id="rId24"/>
    <sheet name="Waste" sheetId="27" r:id="rId25"/>
  </sheets>
  <definedNames>
    <definedName name="_xlnm.Print_Area" localSheetId="1">'Bldg ByLaw Accts'!$A$1:$G$120</definedName>
    <definedName name="_xlnm.Print_Area" localSheetId="13">'Building ByLaw'!$A$1:$M$27</definedName>
    <definedName name="_xlnm.Print_Area" localSheetId="2">'Cons Auth Accts'!$A$1:$G$14</definedName>
    <definedName name="_xlnm.Print_Area" localSheetId="14">'Crowe Valley'!$A$1:$M$19</definedName>
    <definedName name="_xlnm.Print_Area" localSheetId="3">'Emerg Planning Accts'!$A$1:$G$27</definedName>
    <definedName name="_xlnm.Print_Area" localSheetId="15">'Emergency Planning'!$A$1:$M$23</definedName>
    <definedName name="_xlnm.Print_Area" localSheetId="16">Fire!$A$1:$M$27</definedName>
    <definedName name="_xlnm.Print_Area" localSheetId="4">'Fire Accts'!$A$1:$G$76</definedName>
    <definedName name="_xlnm.Print_Area" localSheetId="5">'Gen Gov''t Accts'!$A$1:$F$111</definedName>
    <definedName name="_xlnm.Print_Area" localSheetId="17">'General Govt'!$A$1:$M$37</definedName>
    <definedName name="_xlnm.Print_Area" localSheetId="18">Health!$A$1:$M$24</definedName>
    <definedName name="_xlnm.Print_Area" localSheetId="6">'Health Accts'!$A$1:$G$28</definedName>
    <definedName name="_xlnm.Print_Area" localSheetId="19">Library!$A$1:$M$28</definedName>
    <definedName name="_xlnm.Print_Area" localSheetId="7">'Library Accts'!$A$1:$H$71</definedName>
    <definedName name="_xlnm.Print_Area" localSheetId="20">'Parks and Rec'!$A$1:$M$35</definedName>
    <definedName name="_xlnm.Print_Area" localSheetId="8">'Parks and Rec Accts'!$A$1:$G$107</definedName>
    <definedName name="_xlnm.Print_Area" localSheetId="21">Planning!$A$1:$M$26</definedName>
    <definedName name="_xlnm.Print_Area" localSheetId="9">'Planning Accts'!$A$1:$G$51</definedName>
    <definedName name="_xlnm.Print_Area" localSheetId="10">'Police Services Accts'!$A$1:$G$38</definedName>
    <definedName name="_xlnm.Print_Area" localSheetId="22">Policing!$A$1:$M$28</definedName>
    <definedName name="_xlnm.Print_Area" localSheetId="23">'Public Works'!$A$1:$M$33</definedName>
    <definedName name="_xlnm.Print_Area" localSheetId="11">'Public Works Accts'!$A$1:$H$67</definedName>
    <definedName name="_xlnm.Print_Area" localSheetId="0">Summary!$A$1:$G$31</definedName>
    <definedName name="_xlnm.Print_Area" localSheetId="24">Waste!$A$1:$M$26</definedName>
    <definedName name="_xlnm.Print_Area" localSheetId="12">'Waste Accts'!$A$1:$G$58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3" l="1"/>
  <c r="C7" i="23"/>
  <c r="I11" i="13"/>
  <c r="H11" i="13"/>
  <c r="E11" i="13"/>
  <c r="G11" i="13"/>
  <c r="E29" i="1"/>
  <c r="K51" i="2"/>
  <c r="J51" i="2"/>
  <c r="K50" i="2"/>
  <c r="K44" i="2"/>
  <c r="K45" i="2"/>
  <c r="K46" i="2"/>
  <c r="K47" i="2"/>
  <c r="K48" i="2"/>
  <c r="K49" i="2"/>
  <c r="K43" i="2"/>
  <c r="L59" i="3" l="1"/>
  <c r="L30" i="3"/>
  <c r="L23" i="3"/>
  <c r="L24" i="3"/>
  <c r="L25" i="3"/>
  <c r="L26" i="3"/>
  <c r="L27" i="3"/>
  <c r="L28" i="3"/>
  <c r="L29" i="3"/>
  <c r="L22" i="3"/>
  <c r="C21" i="24" l="1"/>
  <c r="F19" i="24"/>
  <c r="C19" i="24"/>
  <c r="F20" i="24"/>
  <c r="D10" i="18" l="1"/>
  <c r="D18" i="27" l="1"/>
  <c r="D17" i="27"/>
  <c r="D16" i="27"/>
  <c r="D15" i="27"/>
  <c r="D14" i="27"/>
  <c r="D13" i="27"/>
  <c r="D26" i="25"/>
  <c r="D24" i="25"/>
  <c r="D22" i="25"/>
  <c r="D21" i="25"/>
  <c r="D20" i="25"/>
  <c r="D19" i="25"/>
  <c r="D18" i="25"/>
  <c r="D19" i="23"/>
  <c r="D18" i="23"/>
  <c r="D17" i="23"/>
  <c r="D16" i="23"/>
  <c r="D15" i="23"/>
  <c r="D7" i="23"/>
  <c r="D23" i="22"/>
  <c r="D22" i="22"/>
  <c r="D21" i="22"/>
  <c r="D20" i="22"/>
  <c r="D19" i="22"/>
  <c r="D18" i="20"/>
  <c r="D17" i="20"/>
  <c r="D16" i="20"/>
  <c r="D15" i="20"/>
  <c r="D28" i="19"/>
  <c r="D27" i="19"/>
  <c r="D26" i="19"/>
  <c r="D25" i="19"/>
  <c r="D24" i="19"/>
  <c r="D23" i="19"/>
  <c r="D22" i="19"/>
  <c r="D21" i="19"/>
  <c r="D20" i="19"/>
  <c r="D19" i="19"/>
  <c r="D18" i="19"/>
  <c r="F23" i="19"/>
  <c r="D21" i="18"/>
  <c r="D19" i="18"/>
  <c r="D18" i="18"/>
  <c r="D17" i="18"/>
  <c r="D16" i="18"/>
  <c r="D15" i="18"/>
  <c r="D17" i="17"/>
  <c r="D15" i="17"/>
  <c r="D14" i="17"/>
  <c r="D19" i="15"/>
  <c r="D18" i="15"/>
  <c r="D17" i="15"/>
  <c r="F22" i="19"/>
  <c r="F26" i="19"/>
  <c r="C26" i="19"/>
  <c r="C22" i="19"/>
  <c r="C27" i="19"/>
  <c r="F16" i="21" l="1"/>
  <c r="F17" i="27" l="1"/>
  <c r="C17" i="27"/>
  <c r="F22" i="22" l="1"/>
  <c r="F21" i="22"/>
  <c r="D16" i="15" l="1"/>
  <c r="D15" i="15"/>
  <c r="D7" i="15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C18" i="23"/>
  <c r="C17" i="23"/>
  <c r="F17" i="23"/>
  <c r="F18" i="23"/>
  <c r="G39" i="13"/>
  <c r="H39" i="13"/>
  <c r="E39" i="13"/>
  <c r="G32" i="13"/>
  <c r="H32" i="13"/>
  <c r="I32" i="13"/>
  <c r="H31" i="13"/>
  <c r="I31" i="13"/>
  <c r="E32" i="13"/>
  <c r="E62" i="7" l="1"/>
  <c r="I44" i="13" l="1"/>
  <c r="I42" i="13"/>
  <c r="H29" i="3" l="1"/>
  <c r="J60" i="9" l="1"/>
  <c r="J12" i="9"/>
  <c r="E31" i="7" l="1"/>
  <c r="J32" i="7" l="1"/>
  <c r="E11" i="1"/>
  <c r="G30" i="4" l="1"/>
  <c r="I51" i="10"/>
  <c r="I94" i="12"/>
  <c r="I87" i="12"/>
  <c r="I72" i="12"/>
  <c r="E54" i="9" l="1"/>
  <c r="H42" i="2" l="1"/>
  <c r="I42" i="2"/>
  <c r="E40" i="4" l="1"/>
  <c r="C25" i="19" l="1"/>
  <c r="E25" i="4"/>
  <c r="E26" i="4"/>
  <c r="E27" i="4"/>
  <c r="E28" i="4"/>
  <c r="E29" i="4"/>
  <c r="E30" i="4"/>
  <c r="E31" i="4"/>
  <c r="E7" i="4"/>
  <c r="E8" i="4"/>
  <c r="K34" i="12"/>
  <c r="K23" i="12"/>
  <c r="K22" i="12"/>
  <c r="K15" i="12"/>
  <c r="K14" i="12"/>
  <c r="K11" i="12"/>
  <c r="K30" i="12" s="1"/>
  <c r="E3" i="6" l="1"/>
  <c r="C5" i="1"/>
  <c r="D3" i="6" s="1"/>
  <c r="D3" i="15" l="1"/>
  <c r="C6" i="27" l="1"/>
  <c r="H35" i="13"/>
  <c r="G35" i="13"/>
  <c r="I35" i="13" s="1"/>
  <c r="E35" i="13"/>
  <c r="F22" i="25"/>
  <c r="C22" i="25"/>
  <c r="G55" i="9"/>
  <c r="H55" i="9"/>
  <c r="I55" i="9"/>
  <c r="E55" i="9"/>
  <c r="G31" i="9" l="1"/>
  <c r="G42" i="2"/>
  <c r="F36" i="5"/>
  <c r="G34" i="5"/>
  <c r="H34" i="5"/>
  <c r="I34" i="5"/>
  <c r="E34" i="5"/>
  <c r="D9" i="16"/>
  <c r="E42" i="2"/>
  <c r="I19" i="13"/>
  <c r="H19" i="13"/>
  <c r="G19" i="13"/>
  <c r="F18" i="27" l="1"/>
  <c r="C18" i="27"/>
  <c r="H18" i="5" l="1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7" i="5"/>
  <c r="H8" i="5"/>
  <c r="H9" i="5"/>
  <c r="H10" i="5"/>
  <c r="H11" i="5"/>
  <c r="H8" i="9"/>
  <c r="H15" i="9"/>
  <c r="I8" i="5"/>
  <c r="I9" i="5"/>
  <c r="I10" i="5"/>
  <c r="I11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18" i="5"/>
  <c r="I7" i="5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6" i="9"/>
  <c r="I57" i="9"/>
  <c r="I58" i="9"/>
  <c r="I59" i="9"/>
  <c r="I60" i="9"/>
  <c r="I61" i="9"/>
  <c r="I62" i="9"/>
  <c r="I63" i="9"/>
  <c r="I22" i="9"/>
  <c r="I9" i="9"/>
  <c r="I10" i="9"/>
  <c r="I11" i="9"/>
  <c r="I12" i="9"/>
  <c r="I13" i="9"/>
  <c r="I14" i="9"/>
  <c r="I15" i="9"/>
  <c r="I16" i="9"/>
  <c r="I8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6" i="9"/>
  <c r="H57" i="9"/>
  <c r="H58" i="9"/>
  <c r="H59" i="9"/>
  <c r="H60" i="9"/>
  <c r="H61" i="9"/>
  <c r="H62" i="9"/>
  <c r="H63" i="9"/>
  <c r="H22" i="9"/>
  <c r="H9" i="9"/>
  <c r="H10" i="9"/>
  <c r="H11" i="9"/>
  <c r="H12" i="9"/>
  <c r="H13" i="9"/>
  <c r="H14" i="9"/>
  <c r="H16" i="9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2" i="10"/>
  <c r="I53" i="10"/>
  <c r="I54" i="10"/>
  <c r="I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2" i="10"/>
  <c r="H53" i="10"/>
  <c r="H54" i="10"/>
  <c r="H22" i="10"/>
  <c r="H11" i="10"/>
  <c r="H7" i="10"/>
  <c r="H13" i="10"/>
  <c r="H12" i="10"/>
  <c r="H8" i="10"/>
  <c r="H9" i="10"/>
  <c r="I9" i="10"/>
  <c r="I8" i="10"/>
  <c r="I10" i="10"/>
  <c r="I11" i="10"/>
  <c r="I12" i="10"/>
  <c r="I13" i="10"/>
  <c r="I14" i="10"/>
  <c r="I15" i="10"/>
  <c r="I16" i="10"/>
  <c r="I7" i="10"/>
  <c r="E7" i="10"/>
  <c r="H14" i="10"/>
  <c r="H15" i="10"/>
  <c r="H16" i="10"/>
  <c r="H10" i="10"/>
  <c r="G11" i="12"/>
  <c r="H11" i="12"/>
  <c r="H9" i="12"/>
  <c r="F105" i="12"/>
  <c r="C21" i="22"/>
  <c r="I98" i="12"/>
  <c r="H98" i="12"/>
  <c r="G98" i="12"/>
  <c r="E98" i="12"/>
  <c r="C7" i="22"/>
  <c r="F7" i="22"/>
  <c r="I9" i="12"/>
  <c r="G9" i="12"/>
  <c r="E9" i="12"/>
  <c r="F8" i="21"/>
  <c r="C8" i="21"/>
  <c r="F22" i="21"/>
  <c r="C22" i="21"/>
  <c r="I66" i="3"/>
  <c r="E66" i="3"/>
  <c r="H66" i="3"/>
  <c r="F9" i="17"/>
  <c r="I9" i="17" s="1"/>
  <c r="D9" i="17"/>
  <c r="C9" i="17"/>
  <c r="E9" i="17" s="1"/>
  <c r="E7" i="8"/>
  <c r="F6" i="17"/>
  <c r="C6" i="17"/>
  <c r="E6" i="17" s="1"/>
  <c r="H6" i="17" l="1"/>
  <c r="I6" i="17"/>
  <c r="G9" i="17"/>
  <c r="G6" i="17"/>
  <c r="H9" i="17"/>
  <c r="F21" i="24"/>
  <c r="G32" i="5"/>
  <c r="E32" i="5"/>
  <c r="E28" i="5"/>
  <c r="G28" i="5"/>
  <c r="F19" i="15" l="1"/>
  <c r="C19" i="15"/>
  <c r="F16" i="15"/>
  <c r="C16" i="15"/>
  <c r="F21" i="25" l="1"/>
  <c r="C21" i="25"/>
  <c r="G62" i="9" l="1"/>
  <c r="E62" i="9"/>
  <c r="F18" i="18"/>
  <c r="C18" i="18"/>
  <c r="C19" i="18"/>
  <c r="F19" i="18"/>
  <c r="E60" i="4"/>
  <c r="G60" i="4"/>
  <c r="H60" i="4"/>
  <c r="I60" i="4"/>
  <c r="G58" i="4"/>
  <c r="H58" i="4"/>
  <c r="I58" i="4"/>
  <c r="E58" i="4"/>
  <c r="F15" i="23" l="1"/>
  <c r="C15" i="23"/>
  <c r="F19" i="23"/>
  <c r="C19" i="23"/>
  <c r="F16" i="23"/>
  <c r="C16" i="23"/>
  <c r="E27" i="13"/>
  <c r="G27" i="13"/>
  <c r="H27" i="13"/>
  <c r="E45" i="13"/>
  <c r="G45" i="13"/>
  <c r="H45" i="13"/>
  <c r="E44" i="13"/>
  <c r="G44" i="13"/>
  <c r="H44" i="13"/>
  <c r="E42" i="13"/>
  <c r="G42" i="13"/>
  <c r="H42" i="13"/>
  <c r="E34" i="13"/>
  <c r="G34" i="13"/>
  <c r="I34" i="13" s="1"/>
  <c r="H34" i="13"/>
  <c r="I7" i="23" l="1"/>
  <c r="E7" i="23"/>
  <c r="I7" i="13"/>
  <c r="H7" i="13"/>
  <c r="G7" i="13"/>
  <c r="E7" i="13"/>
  <c r="F19" i="25"/>
  <c r="I19" i="25" s="1"/>
  <c r="C19" i="25"/>
  <c r="E19" i="25" s="1"/>
  <c r="E31" i="9"/>
  <c r="C18" i="9"/>
  <c r="F56" i="10"/>
  <c r="F6" i="27"/>
  <c r="F16" i="27"/>
  <c r="I16" i="27" s="1"/>
  <c r="C16" i="27"/>
  <c r="E16" i="27" s="1"/>
  <c r="G44" i="10"/>
  <c r="E44" i="10"/>
  <c r="G47" i="10"/>
  <c r="G38" i="10"/>
  <c r="G37" i="10"/>
  <c r="G36" i="10"/>
  <c r="G30" i="10"/>
  <c r="G29" i="10"/>
  <c r="G28" i="10"/>
  <c r="G22" i="10"/>
  <c r="E6" i="27"/>
  <c r="F18" i="10"/>
  <c r="D18" i="10"/>
  <c r="C18" i="10"/>
  <c r="G7" i="10"/>
  <c r="G8" i="10"/>
  <c r="E8" i="10"/>
  <c r="I3" i="10"/>
  <c r="I3" i="27" s="1"/>
  <c r="H3" i="10"/>
  <c r="H3" i="27" s="1"/>
  <c r="G3" i="10"/>
  <c r="G3" i="27" s="1"/>
  <c r="E3" i="10"/>
  <c r="E3" i="27" s="1"/>
  <c r="I3" i="9"/>
  <c r="I3" i="25" s="1"/>
  <c r="H3" i="9"/>
  <c r="H3" i="25" s="1"/>
  <c r="G3" i="9"/>
  <c r="G3" i="25" s="1"/>
  <c r="E3" i="9"/>
  <c r="E3" i="25" s="1"/>
  <c r="I3" i="5"/>
  <c r="I3" i="24" s="1"/>
  <c r="H3" i="5"/>
  <c r="H3" i="24" s="1"/>
  <c r="G3" i="5"/>
  <c r="G3" i="24" s="1"/>
  <c r="E3" i="5"/>
  <c r="E3" i="24" s="1"/>
  <c r="I3" i="13"/>
  <c r="I3" i="23" s="1"/>
  <c r="H3" i="13"/>
  <c r="H3" i="23" s="1"/>
  <c r="G3" i="13"/>
  <c r="G3" i="23" s="1"/>
  <c r="E3" i="13"/>
  <c r="E3" i="23" s="1"/>
  <c r="I3" i="12"/>
  <c r="I3" i="22" s="1"/>
  <c r="H3" i="12"/>
  <c r="H3" i="22" s="1"/>
  <c r="G3" i="12"/>
  <c r="G3" i="22" s="1"/>
  <c r="E3" i="12"/>
  <c r="E3" i="22" s="1"/>
  <c r="I3" i="3"/>
  <c r="I3" i="21" s="1"/>
  <c r="H3" i="3"/>
  <c r="H3" i="21" s="1"/>
  <c r="G3" i="3"/>
  <c r="G3" i="21" s="1"/>
  <c r="E3" i="3"/>
  <c r="E3" i="21" s="1"/>
  <c r="I3" i="11"/>
  <c r="I3" i="20" s="1"/>
  <c r="H3" i="11"/>
  <c r="H3" i="20" s="1"/>
  <c r="G3" i="11"/>
  <c r="G3" i="20" s="1"/>
  <c r="E3" i="11"/>
  <c r="E3" i="20" s="1"/>
  <c r="C8" i="19"/>
  <c r="I3" i="2"/>
  <c r="H3" i="2"/>
  <c r="G3" i="2"/>
  <c r="E3" i="2"/>
  <c r="I3" i="4"/>
  <c r="I3" i="18" s="1"/>
  <c r="H3" i="4"/>
  <c r="H3" i="18" s="1"/>
  <c r="G3" i="4"/>
  <c r="G3" i="18" s="1"/>
  <c r="E3" i="4"/>
  <c r="E3" i="18" s="1"/>
  <c r="I3" i="8"/>
  <c r="I3" i="17" s="1"/>
  <c r="H3" i="8"/>
  <c r="H3" i="17" s="1"/>
  <c r="G3" i="8"/>
  <c r="G3" i="17" s="1"/>
  <c r="E3" i="8"/>
  <c r="E3" i="17" s="1"/>
  <c r="I3" i="6"/>
  <c r="I3" i="16" s="1"/>
  <c r="H3" i="6"/>
  <c r="H3" i="16" s="1"/>
  <c r="G3" i="6"/>
  <c r="G3" i="16" s="1"/>
  <c r="I3" i="7"/>
  <c r="I3" i="15" s="1"/>
  <c r="E5" i="1"/>
  <c r="D3" i="27"/>
  <c r="B5" i="1"/>
  <c r="H3" i="7"/>
  <c r="H3" i="15" s="1"/>
  <c r="G3" i="7"/>
  <c r="G3" i="15" s="1"/>
  <c r="E3" i="7"/>
  <c r="E3" i="15" s="1"/>
  <c r="D3" i="7"/>
  <c r="G91" i="2"/>
  <c r="E91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G83" i="2"/>
  <c r="G84" i="2"/>
  <c r="G85" i="2"/>
  <c r="G86" i="2"/>
  <c r="G87" i="2"/>
  <c r="G88" i="2"/>
  <c r="G89" i="2"/>
  <c r="G90" i="2"/>
  <c r="G92" i="2"/>
  <c r="G93" i="2"/>
  <c r="G94" i="2"/>
  <c r="G95" i="2"/>
  <c r="E83" i="2"/>
  <c r="E84" i="2"/>
  <c r="E85" i="2"/>
  <c r="E86" i="2"/>
  <c r="E87" i="2"/>
  <c r="E88" i="2"/>
  <c r="E89" i="2"/>
  <c r="E90" i="2"/>
  <c r="E92" i="2"/>
  <c r="E93" i="2"/>
  <c r="E94" i="2"/>
  <c r="E95" i="2"/>
  <c r="F27" i="19"/>
  <c r="I27" i="19" s="1"/>
  <c r="F7" i="16"/>
  <c r="F9" i="16" s="1"/>
  <c r="C7" i="16"/>
  <c r="I19" i="23"/>
  <c r="E19" i="23"/>
  <c r="G43" i="13"/>
  <c r="H43" i="13"/>
  <c r="I43" i="13"/>
  <c r="E43" i="13"/>
  <c r="I17" i="23"/>
  <c r="E17" i="23"/>
  <c r="F12" i="22"/>
  <c r="I12" i="22" s="1"/>
  <c r="G11" i="10"/>
  <c r="E11" i="10"/>
  <c r="G33" i="13"/>
  <c r="H33" i="13"/>
  <c r="I33" i="13"/>
  <c r="E33" i="13"/>
  <c r="E26" i="19"/>
  <c r="C17" i="18"/>
  <c r="E17" i="18" s="1"/>
  <c r="C7" i="18"/>
  <c r="E7" i="18" s="1"/>
  <c r="C15" i="18"/>
  <c r="F30" i="12"/>
  <c r="I30" i="12" s="1"/>
  <c r="C19" i="7"/>
  <c r="C15" i="7"/>
  <c r="A2" i="7"/>
  <c r="A2" i="8" s="1"/>
  <c r="A2" i="17" s="1"/>
  <c r="C7" i="27"/>
  <c r="E7" i="27" s="1"/>
  <c r="F7" i="27"/>
  <c r="I7" i="27" s="1"/>
  <c r="D9" i="27"/>
  <c r="C13" i="27"/>
  <c r="E13" i="27" s="1"/>
  <c r="C14" i="27"/>
  <c r="E14" i="27" s="1"/>
  <c r="F14" i="27"/>
  <c r="I14" i="27" s="1"/>
  <c r="C15" i="27"/>
  <c r="E15" i="27" s="1"/>
  <c r="E17" i="27"/>
  <c r="I17" i="27"/>
  <c r="I18" i="27"/>
  <c r="C19" i="27"/>
  <c r="E19" i="27" s="1"/>
  <c r="F19" i="27"/>
  <c r="I19" i="27" s="1"/>
  <c r="C20" i="27"/>
  <c r="F20" i="27"/>
  <c r="I20" i="27" s="1"/>
  <c r="D22" i="27"/>
  <c r="C8" i="25"/>
  <c r="E8" i="25" s="1"/>
  <c r="F8" i="25"/>
  <c r="I8" i="25" s="1"/>
  <c r="C9" i="25"/>
  <c r="E9" i="25" s="1"/>
  <c r="F9" i="25"/>
  <c r="I9" i="25" s="1"/>
  <c r="C10" i="25"/>
  <c r="E10" i="25" s="1"/>
  <c r="F10" i="25"/>
  <c r="I10" i="25" s="1"/>
  <c r="C11" i="25"/>
  <c r="F11" i="25"/>
  <c r="I11" i="25" s="1"/>
  <c r="D13" i="25"/>
  <c r="C18" i="25"/>
  <c r="E18" i="25" s="1"/>
  <c r="F18" i="25"/>
  <c r="I18" i="25" s="1"/>
  <c r="C20" i="25"/>
  <c r="E20" i="25" s="1"/>
  <c r="F20" i="25"/>
  <c r="I20" i="25" s="1"/>
  <c r="E21" i="25"/>
  <c r="I21" i="25"/>
  <c r="I22" i="25"/>
  <c r="C23" i="25"/>
  <c r="E23" i="25" s="1"/>
  <c r="F23" i="25"/>
  <c r="I23" i="25" s="1"/>
  <c r="C24" i="25"/>
  <c r="E24" i="25" s="1"/>
  <c r="F24" i="25"/>
  <c r="C26" i="25"/>
  <c r="E26" i="25" s="1"/>
  <c r="F26" i="25"/>
  <c r="I26" i="25" s="1"/>
  <c r="C27" i="25"/>
  <c r="E27" i="25" s="1"/>
  <c r="F27" i="25"/>
  <c r="I27" i="25" s="1"/>
  <c r="D29" i="25"/>
  <c r="C7" i="24"/>
  <c r="E7" i="24" s="1"/>
  <c r="F7" i="24"/>
  <c r="C8" i="24"/>
  <c r="E8" i="24" s="1"/>
  <c r="F8" i="24"/>
  <c r="I8" i="24" s="1"/>
  <c r="C9" i="24"/>
  <c r="F9" i="24"/>
  <c r="C10" i="24"/>
  <c r="E10" i="24" s="1"/>
  <c r="F10" i="24"/>
  <c r="D12" i="24"/>
  <c r="C17" i="24"/>
  <c r="E17" i="24" s="1"/>
  <c r="F17" i="24"/>
  <c r="G17" i="24" s="1"/>
  <c r="C18" i="24"/>
  <c r="E18" i="24" s="1"/>
  <c r="F18" i="24"/>
  <c r="I18" i="24" s="1"/>
  <c r="E19" i="24"/>
  <c r="I19" i="24"/>
  <c r="C20" i="24"/>
  <c r="E20" i="24" s="1"/>
  <c r="I20" i="24"/>
  <c r="E21" i="24"/>
  <c r="C22" i="24"/>
  <c r="E22" i="24" s="1"/>
  <c r="F22" i="24"/>
  <c r="I22" i="24" s="1"/>
  <c r="D24" i="24"/>
  <c r="C8" i="23"/>
  <c r="E8" i="23" s="1"/>
  <c r="F8" i="23"/>
  <c r="I8" i="23" s="1"/>
  <c r="D10" i="23"/>
  <c r="E15" i="23"/>
  <c r="I15" i="23"/>
  <c r="E16" i="23"/>
  <c r="I16" i="23"/>
  <c r="E18" i="23"/>
  <c r="C20" i="23"/>
  <c r="E20" i="23" s="1"/>
  <c r="F20" i="23"/>
  <c r="F22" i="23" s="1"/>
  <c r="D22" i="23"/>
  <c r="E7" i="22"/>
  <c r="I7" i="22"/>
  <c r="F8" i="22"/>
  <c r="I8" i="22" s="1"/>
  <c r="C11" i="22"/>
  <c r="E11" i="22" s="1"/>
  <c r="F11" i="22"/>
  <c r="I11" i="22" s="1"/>
  <c r="D14" i="22"/>
  <c r="C19" i="22"/>
  <c r="E19" i="22" s="1"/>
  <c r="F19" i="22"/>
  <c r="I19" i="22" s="1"/>
  <c r="C20" i="22"/>
  <c r="E20" i="22" s="1"/>
  <c r="F20" i="22"/>
  <c r="I21" i="22"/>
  <c r="C22" i="22"/>
  <c r="E22" i="22" s="1"/>
  <c r="I22" i="22"/>
  <c r="C23" i="22"/>
  <c r="E23" i="22" s="1"/>
  <c r="F23" i="22"/>
  <c r="C24" i="22"/>
  <c r="F24" i="22"/>
  <c r="I24" i="22" s="1"/>
  <c r="C28" i="22"/>
  <c r="E28" i="22" s="1"/>
  <c r="F28" i="22"/>
  <c r="D31" i="22"/>
  <c r="C7" i="21"/>
  <c r="E7" i="21" s="1"/>
  <c r="F7" i="21"/>
  <c r="I8" i="21"/>
  <c r="C9" i="21"/>
  <c r="E9" i="21" s="1"/>
  <c r="F9" i="21"/>
  <c r="I9" i="21" s="1"/>
  <c r="D11" i="21"/>
  <c r="C16" i="21"/>
  <c r="E16" i="21" s="1"/>
  <c r="I16" i="21"/>
  <c r="C17" i="21"/>
  <c r="E17" i="21" s="1"/>
  <c r="F17" i="21"/>
  <c r="I17" i="21" s="1"/>
  <c r="C18" i="21"/>
  <c r="E18" i="21" s="1"/>
  <c r="F18" i="21"/>
  <c r="I18" i="21" s="1"/>
  <c r="C19" i="21"/>
  <c r="E19" i="21" s="1"/>
  <c r="F19" i="21"/>
  <c r="I19" i="21" s="1"/>
  <c r="C20" i="21"/>
  <c r="E20" i="21" s="1"/>
  <c r="F20" i="21"/>
  <c r="I20" i="21" s="1"/>
  <c r="C21" i="21"/>
  <c r="E21" i="21" s="1"/>
  <c r="F21" i="21"/>
  <c r="I21" i="21" s="1"/>
  <c r="E22" i="21"/>
  <c r="I22" i="21"/>
  <c r="D24" i="21"/>
  <c r="C6" i="20"/>
  <c r="E6" i="20" s="1"/>
  <c r="F6" i="20"/>
  <c r="I6" i="20" s="1"/>
  <c r="C7" i="20"/>
  <c r="E7" i="20" s="1"/>
  <c r="F7" i="20"/>
  <c r="I7" i="20" s="1"/>
  <c r="C8" i="20"/>
  <c r="E8" i="20" s="1"/>
  <c r="F8" i="20"/>
  <c r="I8" i="20" s="1"/>
  <c r="D10" i="20"/>
  <c r="C15" i="20"/>
  <c r="E15" i="20" s="1"/>
  <c r="F15" i="20"/>
  <c r="C16" i="20"/>
  <c r="E16" i="20" s="1"/>
  <c r="F16" i="20"/>
  <c r="C17" i="20"/>
  <c r="E17" i="20" s="1"/>
  <c r="F17" i="20"/>
  <c r="I17" i="20" s="1"/>
  <c r="C18" i="20"/>
  <c r="E18" i="20" s="1"/>
  <c r="F18" i="20"/>
  <c r="D20" i="20"/>
  <c r="D3" i="19"/>
  <c r="E3" i="19"/>
  <c r="G3" i="19"/>
  <c r="H3" i="19"/>
  <c r="C7" i="19"/>
  <c r="E7" i="19" s="1"/>
  <c r="F7" i="19"/>
  <c r="I7" i="19" s="1"/>
  <c r="F8" i="19"/>
  <c r="I8" i="19" s="1"/>
  <c r="C9" i="19"/>
  <c r="E9" i="19" s="1"/>
  <c r="F9" i="19"/>
  <c r="C10" i="19"/>
  <c r="E10" i="19" s="1"/>
  <c r="F10" i="19"/>
  <c r="I10" i="19" s="1"/>
  <c r="C11" i="19"/>
  <c r="E11" i="19" s="1"/>
  <c r="F11" i="19"/>
  <c r="I11" i="19" s="1"/>
  <c r="C12" i="19"/>
  <c r="F12" i="19"/>
  <c r="D14" i="19"/>
  <c r="C18" i="19"/>
  <c r="E18" i="19" s="1"/>
  <c r="F18" i="19"/>
  <c r="I18" i="19" s="1"/>
  <c r="C19" i="19"/>
  <c r="E19" i="19" s="1"/>
  <c r="F19" i="19"/>
  <c r="G19" i="19" s="1"/>
  <c r="C20" i="19"/>
  <c r="E20" i="19" s="1"/>
  <c r="F20" i="19"/>
  <c r="I20" i="19" s="1"/>
  <c r="C21" i="19"/>
  <c r="E21" i="19" s="1"/>
  <c r="F21" i="19"/>
  <c r="I21" i="19" s="1"/>
  <c r="E22" i="19"/>
  <c r="I22" i="19"/>
  <c r="C23" i="19"/>
  <c r="E23" i="19" s="1"/>
  <c r="C24" i="19"/>
  <c r="E24" i="19" s="1"/>
  <c r="F24" i="19"/>
  <c r="I24" i="19" s="1"/>
  <c r="E25" i="19"/>
  <c r="F25" i="19"/>
  <c r="G25" i="19" s="1"/>
  <c r="C28" i="19"/>
  <c r="F28" i="19"/>
  <c r="I28" i="19" s="1"/>
  <c r="C30" i="19"/>
  <c r="E30" i="19" s="1"/>
  <c r="F30" i="19"/>
  <c r="I30" i="19" s="1"/>
  <c r="C31" i="19"/>
  <c r="E31" i="19" s="1"/>
  <c r="F31" i="19"/>
  <c r="I31" i="19" s="1"/>
  <c r="D33" i="19"/>
  <c r="F7" i="18"/>
  <c r="I7" i="18" s="1"/>
  <c r="C8" i="18"/>
  <c r="E8" i="18" s="1"/>
  <c r="F8" i="18"/>
  <c r="G8" i="18" s="1"/>
  <c r="F15" i="18"/>
  <c r="I15" i="18" s="1"/>
  <c r="C16" i="18"/>
  <c r="E16" i="18" s="1"/>
  <c r="F16" i="18"/>
  <c r="I16" i="18" s="1"/>
  <c r="F17" i="18"/>
  <c r="I17" i="18" s="1"/>
  <c r="E18" i="18"/>
  <c r="I18" i="18"/>
  <c r="E19" i="18"/>
  <c r="I19" i="18"/>
  <c r="C20" i="18"/>
  <c r="E20" i="18" s="1"/>
  <c r="F20" i="18"/>
  <c r="I20" i="18" s="1"/>
  <c r="C21" i="18"/>
  <c r="E21" i="18" s="1"/>
  <c r="F21" i="18"/>
  <c r="D23" i="18"/>
  <c r="C7" i="17"/>
  <c r="E7" i="17" s="1"/>
  <c r="F7" i="17"/>
  <c r="C14" i="17"/>
  <c r="E14" i="17" s="1"/>
  <c r="F14" i="17"/>
  <c r="I14" i="17" s="1"/>
  <c r="C15" i="17"/>
  <c r="E15" i="17" s="1"/>
  <c r="F15" i="17"/>
  <c r="H15" i="17" s="1"/>
  <c r="C16" i="17"/>
  <c r="E16" i="17" s="1"/>
  <c r="F16" i="17"/>
  <c r="I16" i="17" s="1"/>
  <c r="C17" i="17"/>
  <c r="E17" i="17" s="1"/>
  <c r="F17" i="17"/>
  <c r="D19" i="17"/>
  <c r="D3" i="16"/>
  <c r="E3" i="16"/>
  <c r="C13" i="16"/>
  <c r="C15" i="16" s="1"/>
  <c r="F13" i="16"/>
  <c r="I13" i="16" s="1"/>
  <c r="D15" i="16"/>
  <c r="C7" i="15"/>
  <c r="E7" i="15" s="1"/>
  <c r="F7" i="15"/>
  <c r="I7" i="15" s="1"/>
  <c r="C8" i="15"/>
  <c r="E8" i="15" s="1"/>
  <c r="F8" i="15"/>
  <c r="D10" i="15"/>
  <c r="C15" i="15"/>
  <c r="E15" i="15" s="1"/>
  <c r="F15" i="15"/>
  <c r="C17" i="15"/>
  <c r="E17" i="15" s="1"/>
  <c r="F17" i="15"/>
  <c r="I17" i="15" s="1"/>
  <c r="C18" i="15"/>
  <c r="E18" i="15" s="1"/>
  <c r="F18" i="15"/>
  <c r="I18" i="15" s="1"/>
  <c r="I19" i="15"/>
  <c r="C20" i="15"/>
  <c r="E20" i="15" s="1"/>
  <c r="F20" i="15"/>
  <c r="I20" i="15" s="1"/>
  <c r="C21" i="15"/>
  <c r="E21" i="15" s="1"/>
  <c r="I21" i="15"/>
  <c r="D23" i="15"/>
  <c r="E9" i="10"/>
  <c r="G9" i="10"/>
  <c r="E10" i="10"/>
  <c r="G10" i="10"/>
  <c r="E12" i="10"/>
  <c r="G12" i="10"/>
  <c r="E13" i="10"/>
  <c r="G13" i="10"/>
  <c r="E14" i="10"/>
  <c r="G14" i="10"/>
  <c r="E15" i="10"/>
  <c r="G15" i="10"/>
  <c r="E16" i="10"/>
  <c r="G16" i="10"/>
  <c r="E22" i="10"/>
  <c r="E23" i="10"/>
  <c r="G23" i="10"/>
  <c r="E24" i="10"/>
  <c r="G24" i="10"/>
  <c r="E25" i="10"/>
  <c r="G25" i="10"/>
  <c r="E26" i="10"/>
  <c r="G26" i="10"/>
  <c r="E27" i="10"/>
  <c r="G27" i="10"/>
  <c r="E28" i="10"/>
  <c r="E29" i="10"/>
  <c r="E30" i="10"/>
  <c r="E31" i="10"/>
  <c r="G31" i="10"/>
  <c r="E32" i="10"/>
  <c r="G32" i="10"/>
  <c r="E33" i="10"/>
  <c r="G33" i="10"/>
  <c r="E34" i="10"/>
  <c r="G34" i="10"/>
  <c r="E35" i="10"/>
  <c r="G35" i="10"/>
  <c r="E36" i="10"/>
  <c r="E37" i="10"/>
  <c r="E38" i="10"/>
  <c r="E39" i="10"/>
  <c r="G39" i="10"/>
  <c r="E40" i="10"/>
  <c r="G40" i="10"/>
  <c r="E41" i="10"/>
  <c r="G41" i="10"/>
  <c r="E42" i="10"/>
  <c r="G42" i="10"/>
  <c r="E43" i="10"/>
  <c r="G43" i="10"/>
  <c r="E45" i="10"/>
  <c r="G45" i="10"/>
  <c r="E46" i="10"/>
  <c r="E47" i="10"/>
  <c r="E48" i="10"/>
  <c r="G48" i="10"/>
  <c r="E49" i="10"/>
  <c r="G49" i="10"/>
  <c r="E50" i="10"/>
  <c r="G50" i="10"/>
  <c r="E52" i="10"/>
  <c r="G52" i="10"/>
  <c r="E53" i="10"/>
  <c r="G53" i="10"/>
  <c r="E54" i="10"/>
  <c r="G54" i="10"/>
  <c r="C56" i="10"/>
  <c r="D56" i="10"/>
  <c r="E8" i="9"/>
  <c r="G8" i="9"/>
  <c r="E9" i="9"/>
  <c r="G9" i="9"/>
  <c r="E10" i="9"/>
  <c r="G10" i="9"/>
  <c r="E11" i="9"/>
  <c r="G11" i="9"/>
  <c r="E12" i="9"/>
  <c r="G12" i="9"/>
  <c r="E13" i="9"/>
  <c r="G13" i="9"/>
  <c r="E14" i="9"/>
  <c r="G14" i="9"/>
  <c r="E15" i="9"/>
  <c r="G15" i="9"/>
  <c r="E16" i="9"/>
  <c r="G16" i="9"/>
  <c r="G17" i="9"/>
  <c r="D18" i="9"/>
  <c r="F18" i="9"/>
  <c r="E22" i="9"/>
  <c r="G22" i="9"/>
  <c r="E23" i="9"/>
  <c r="G23" i="9"/>
  <c r="E24" i="9"/>
  <c r="G24" i="9"/>
  <c r="E25" i="9"/>
  <c r="G25" i="9"/>
  <c r="E26" i="9"/>
  <c r="G26" i="9"/>
  <c r="E27" i="9"/>
  <c r="G27" i="9"/>
  <c r="E28" i="9"/>
  <c r="G28" i="9"/>
  <c r="E29" i="9"/>
  <c r="G29" i="9"/>
  <c r="E30" i="9"/>
  <c r="G30" i="9"/>
  <c r="E32" i="9"/>
  <c r="G32" i="9"/>
  <c r="E33" i="9"/>
  <c r="G33" i="9"/>
  <c r="E34" i="9"/>
  <c r="G34" i="9"/>
  <c r="E35" i="9"/>
  <c r="G35" i="9"/>
  <c r="E36" i="9"/>
  <c r="G36" i="9"/>
  <c r="E37" i="9"/>
  <c r="G37" i="9"/>
  <c r="E38" i="9"/>
  <c r="G38" i="9"/>
  <c r="E39" i="9"/>
  <c r="G39" i="9"/>
  <c r="E40" i="9"/>
  <c r="G40" i="9"/>
  <c r="E41" i="9"/>
  <c r="G41" i="9"/>
  <c r="E42" i="9"/>
  <c r="G42" i="9"/>
  <c r="E43" i="9"/>
  <c r="G43" i="9"/>
  <c r="E44" i="9"/>
  <c r="G44" i="9"/>
  <c r="E45" i="9"/>
  <c r="G45" i="9"/>
  <c r="E46" i="9"/>
  <c r="G46" i="9"/>
  <c r="E47" i="9"/>
  <c r="G47" i="9"/>
  <c r="E48" i="9"/>
  <c r="G48" i="9"/>
  <c r="E49" i="9"/>
  <c r="G49" i="9"/>
  <c r="E50" i="9"/>
  <c r="G50" i="9"/>
  <c r="E51" i="9"/>
  <c r="G51" i="9"/>
  <c r="E52" i="9"/>
  <c r="G52" i="9"/>
  <c r="E53" i="9"/>
  <c r="G53" i="9"/>
  <c r="G54" i="9"/>
  <c r="E56" i="9"/>
  <c r="G56" i="9"/>
  <c r="E57" i="9"/>
  <c r="G57" i="9"/>
  <c r="E58" i="9"/>
  <c r="G58" i="9"/>
  <c r="E59" i="9"/>
  <c r="G59" i="9"/>
  <c r="E60" i="9"/>
  <c r="G60" i="9"/>
  <c r="E61" i="9"/>
  <c r="G61" i="9"/>
  <c r="E63" i="9"/>
  <c r="G63" i="9"/>
  <c r="C65" i="9"/>
  <c r="D65" i="9"/>
  <c r="F65" i="9"/>
  <c r="E7" i="5"/>
  <c r="G7" i="5"/>
  <c r="E8" i="5"/>
  <c r="G8" i="5"/>
  <c r="E9" i="5"/>
  <c r="G9" i="5"/>
  <c r="E10" i="5"/>
  <c r="G10" i="5"/>
  <c r="E11" i="5"/>
  <c r="G11" i="5"/>
  <c r="C13" i="5"/>
  <c r="D13" i="5"/>
  <c r="F13" i="5"/>
  <c r="E18" i="5"/>
  <c r="G18" i="5"/>
  <c r="E19" i="5"/>
  <c r="G19" i="5"/>
  <c r="E20" i="5"/>
  <c r="G20" i="5"/>
  <c r="E21" i="5"/>
  <c r="G21" i="5"/>
  <c r="E22" i="5"/>
  <c r="G22" i="5"/>
  <c r="E23" i="5"/>
  <c r="G23" i="5"/>
  <c r="E24" i="5"/>
  <c r="G24" i="5"/>
  <c r="E25" i="5"/>
  <c r="G25" i="5"/>
  <c r="E26" i="5"/>
  <c r="G26" i="5"/>
  <c r="E27" i="5"/>
  <c r="G27" i="5"/>
  <c r="E29" i="5"/>
  <c r="G29" i="5"/>
  <c r="E30" i="5"/>
  <c r="G30" i="5"/>
  <c r="E31" i="5"/>
  <c r="G31" i="5"/>
  <c r="E33" i="5"/>
  <c r="G33" i="5"/>
  <c r="C36" i="5"/>
  <c r="H36" i="5" s="1"/>
  <c r="D36" i="5"/>
  <c r="I36" i="5" s="1"/>
  <c r="E8" i="13"/>
  <c r="G8" i="13"/>
  <c r="H8" i="13"/>
  <c r="I8" i="13"/>
  <c r="E9" i="13"/>
  <c r="G9" i="13"/>
  <c r="H9" i="13"/>
  <c r="I9" i="13"/>
  <c r="E10" i="13"/>
  <c r="G10" i="13"/>
  <c r="H10" i="13"/>
  <c r="I10" i="13"/>
  <c r="E12" i="13"/>
  <c r="G12" i="13"/>
  <c r="H12" i="13"/>
  <c r="I12" i="13"/>
  <c r="C14" i="13"/>
  <c r="D14" i="13"/>
  <c r="F14" i="13"/>
  <c r="E18" i="13"/>
  <c r="G18" i="13"/>
  <c r="H18" i="13"/>
  <c r="I18" i="13"/>
  <c r="E19" i="13"/>
  <c r="E20" i="13"/>
  <c r="G20" i="13"/>
  <c r="H20" i="13"/>
  <c r="I20" i="13"/>
  <c r="E21" i="13"/>
  <c r="G21" i="13"/>
  <c r="H21" i="13"/>
  <c r="I21" i="13"/>
  <c r="E22" i="13"/>
  <c r="G22" i="13"/>
  <c r="H22" i="13"/>
  <c r="I22" i="13"/>
  <c r="E23" i="13"/>
  <c r="G23" i="13"/>
  <c r="H23" i="13"/>
  <c r="I23" i="13"/>
  <c r="E24" i="13"/>
  <c r="G24" i="13"/>
  <c r="H24" i="13"/>
  <c r="I24" i="13"/>
  <c r="E25" i="13"/>
  <c r="G25" i="13"/>
  <c r="H25" i="13"/>
  <c r="I25" i="13"/>
  <c r="E26" i="13"/>
  <c r="G26" i="13"/>
  <c r="H26" i="13"/>
  <c r="I26" i="13"/>
  <c r="E28" i="13"/>
  <c r="G28" i="13"/>
  <c r="H28" i="13"/>
  <c r="I28" i="13"/>
  <c r="E29" i="13"/>
  <c r="G29" i="13"/>
  <c r="H29" i="13"/>
  <c r="I29" i="13"/>
  <c r="E30" i="13"/>
  <c r="G30" i="13"/>
  <c r="H30" i="13"/>
  <c r="I30" i="13"/>
  <c r="E31" i="13"/>
  <c r="G31" i="13"/>
  <c r="E36" i="13"/>
  <c r="G36" i="13"/>
  <c r="H36" i="13"/>
  <c r="I36" i="13"/>
  <c r="E37" i="13"/>
  <c r="G37" i="13"/>
  <c r="H37" i="13"/>
  <c r="I37" i="13"/>
  <c r="E38" i="13"/>
  <c r="G38" i="13"/>
  <c r="H38" i="13"/>
  <c r="I38" i="13"/>
  <c r="E40" i="13"/>
  <c r="H40" i="13"/>
  <c r="I40" i="13"/>
  <c r="E41" i="13"/>
  <c r="G41" i="13"/>
  <c r="H41" i="13"/>
  <c r="I41" i="13"/>
  <c r="E47" i="13"/>
  <c r="G47" i="13"/>
  <c r="H47" i="13"/>
  <c r="I47" i="13"/>
  <c r="E46" i="13"/>
  <c r="G46" i="13"/>
  <c r="H46" i="13"/>
  <c r="I46" i="13"/>
  <c r="C49" i="13"/>
  <c r="D49" i="13"/>
  <c r="F49" i="13"/>
  <c r="A2" i="12"/>
  <c r="A2" i="22" s="1"/>
  <c r="E10" i="12"/>
  <c r="G10" i="12"/>
  <c r="H10" i="12"/>
  <c r="I10" i="12"/>
  <c r="E11" i="12"/>
  <c r="I11" i="12"/>
  <c r="E12" i="12"/>
  <c r="G12" i="12"/>
  <c r="H12" i="12"/>
  <c r="I12" i="12"/>
  <c r="E13" i="12"/>
  <c r="G13" i="12"/>
  <c r="I13" i="12"/>
  <c r="E14" i="12"/>
  <c r="G14" i="12"/>
  <c r="H14" i="12"/>
  <c r="I14" i="12"/>
  <c r="E15" i="12"/>
  <c r="G15" i="12"/>
  <c r="H15" i="12"/>
  <c r="I15" i="12"/>
  <c r="E16" i="12"/>
  <c r="G16" i="12"/>
  <c r="H16" i="12"/>
  <c r="I16" i="12"/>
  <c r="E17" i="12"/>
  <c r="G17" i="12"/>
  <c r="H17" i="12"/>
  <c r="I17" i="12"/>
  <c r="E18" i="12"/>
  <c r="G18" i="12"/>
  <c r="H18" i="12"/>
  <c r="I18" i="12"/>
  <c r="E19" i="12"/>
  <c r="G19" i="12"/>
  <c r="H19" i="12"/>
  <c r="I19" i="12"/>
  <c r="E20" i="12"/>
  <c r="G20" i="12"/>
  <c r="H20" i="12"/>
  <c r="I20" i="12"/>
  <c r="E21" i="12"/>
  <c r="G21" i="12"/>
  <c r="H21" i="12"/>
  <c r="I21" i="12"/>
  <c r="E22" i="12"/>
  <c r="G22" i="12"/>
  <c r="H22" i="12"/>
  <c r="I22" i="12"/>
  <c r="E23" i="12"/>
  <c r="G23" i="12"/>
  <c r="H23" i="12"/>
  <c r="I23" i="12"/>
  <c r="E24" i="12"/>
  <c r="G24" i="12"/>
  <c r="H24" i="12"/>
  <c r="I24" i="12"/>
  <c r="E25" i="12"/>
  <c r="G25" i="12"/>
  <c r="H25" i="12"/>
  <c r="I25" i="12"/>
  <c r="E26" i="12"/>
  <c r="G26" i="12"/>
  <c r="H26" i="12"/>
  <c r="I26" i="12"/>
  <c r="E27" i="12"/>
  <c r="G27" i="12"/>
  <c r="H27" i="12"/>
  <c r="I27" i="12"/>
  <c r="E28" i="12"/>
  <c r="G28" i="12"/>
  <c r="H28" i="12"/>
  <c r="I28" i="12"/>
  <c r="H29" i="12"/>
  <c r="I29" i="12"/>
  <c r="C30" i="12"/>
  <c r="C8" i="22" s="1"/>
  <c r="D30" i="12"/>
  <c r="E34" i="12"/>
  <c r="G34" i="12"/>
  <c r="H34" i="12"/>
  <c r="I34" i="12"/>
  <c r="E35" i="12"/>
  <c r="G35" i="12"/>
  <c r="H35" i="12"/>
  <c r="I35" i="12"/>
  <c r="E36" i="12"/>
  <c r="G36" i="12"/>
  <c r="H36" i="12"/>
  <c r="I36" i="12"/>
  <c r="E37" i="12"/>
  <c r="G37" i="12"/>
  <c r="H37" i="12"/>
  <c r="I37" i="12"/>
  <c r="E38" i="12"/>
  <c r="G38" i="12"/>
  <c r="H38" i="12"/>
  <c r="I38" i="12"/>
  <c r="E39" i="12"/>
  <c r="G39" i="12"/>
  <c r="H39" i="12"/>
  <c r="I39" i="12"/>
  <c r="E40" i="12"/>
  <c r="G40" i="12"/>
  <c r="H40" i="12"/>
  <c r="I40" i="12"/>
  <c r="E41" i="12"/>
  <c r="G41" i="12"/>
  <c r="H41" i="12"/>
  <c r="I41" i="12"/>
  <c r="E42" i="12"/>
  <c r="G42" i="12"/>
  <c r="H42" i="12"/>
  <c r="I42" i="12"/>
  <c r="E43" i="12"/>
  <c r="G43" i="12"/>
  <c r="H43" i="12"/>
  <c r="I43" i="12"/>
  <c r="E44" i="12"/>
  <c r="G44" i="12"/>
  <c r="H44" i="12"/>
  <c r="I44" i="12"/>
  <c r="E45" i="12"/>
  <c r="G45" i="12"/>
  <c r="H45" i="12"/>
  <c r="I45" i="12"/>
  <c r="E46" i="12"/>
  <c r="G46" i="12"/>
  <c r="H46" i="12"/>
  <c r="I46" i="12"/>
  <c r="E47" i="12"/>
  <c r="G47" i="12"/>
  <c r="H47" i="12"/>
  <c r="I47" i="12"/>
  <c r="E48" i="12"/>
  <c r="G48" i="12"/>
  <c r="H48" i="12"/>
  <c r="I48" i="12"/>
  <c r="E49" i="12"/>
  <c r="G49" i="12"/>
  <c r="H49" i="12"/>
  <c r="I49" i="12"/>
  <c r="E50" i="12"/>
  <c r="G50" i="12"/>
  <c r="H50" i="12"/>
  <c r="I50" i="12"/>
  <c r="E51" i="12"/>
  <c r="G51" i="12"/>
  <c r="H51" i="12"/>
  <c r="I51" i="12"/>
  <c r="E52" i="12"/>
  <c r="G52" i="12"/>
  <c r="H52" i="12"/>
  <c r="I52" i="12"/>
  <c r="E53" i="12"/>
  <c r="G53" i="12"/>
  <c r="H53" i="12"/>
  <c r="I53" i="12"/>
  <c r="E54" i="12"/>
  <c r="G54" i="12"/>
  <c r="H54" i="12"/>
  <c r="I54" i="12"/>
  <c r="E55" i="12"/>
  <c r="G55" i="12"/>
  <c r="H55" i="12"/>
  <c r="I55" i="12"/>
  <c r="E56" i="12"/>
  <c r="G56" i="12"/>
  <c r="H56" i="12"/>
  <c r="I56" i="12"/>
  <c r="E57" i="12"/>
  <c r="G57" i="12"/>
  <c r="H57" i="12"/>
  <c r="I57" i="12"/>
  <c r="E58" i="12"/>
  <c r="G58" i="12"/>
  <c r="H58" i="12"/>
  <c r="I58" i="12"/>
  <c r="E59" i="12"/>
  <c r="G59" i="12"/>
  <c r="H59" i="12"/>
  <c r="I59" i="12"/>
  <c r="E60" i="12"/>
  <c r="G60" i="12"/>
  <c r="H60" i="12"/>
  <c r="I60" i="12"/>
  <c r="E61" i="12"/>
  <c r="G61" i="12"/>
  <c r="H61" i="12"/>
  <c r="I61" i="12"/>
  <c r="E62" i="12"/>
  <c r="G62" i="12"/>
  <c r="H62" i="12"/>
  <c r="I62" i="12"/>
  <c r="E63" i="12"/>
  <c r="G63" i="12"/>
  <c r="H63" i="12"/>
  <c r="I63" i="12"/>
  <c r="E64" i="12"/>
  <c r="G64" i="12"/>
  <c r="H64" i="12"/>
  <c r="I64" i="12"/>
  <c r="E65" i="12"/>
  <c r="G65" i="12"/>
  <c r="H65" i="12"/>
  <c r="I65" i="12"/>
  <c r="E66" i="12"/>
  <c r="G66" i="12"/>
  <c r="H66" i="12"/>
  <c r="I66" i="12"/>
  <c r="E68" i="12"/>
  <c r="G68" i="12"/>
  <c r="H68" i="12"/>
  <c r="I68" i="12"/>
  <c r="E69" i="12"/>
  <c r="G69" i="12"/>
  <c r="H69" i="12"/>
  <c r="I69" i="12"/>
  <c r="E67" i="12"/>
  <c r="G67" i="12"/>
  <c r="H67" i="12"/>
  <c r="I67" i="12"/>
  <c r="E73" i="12"/>
  <c r="G73" i="12"/>
  <c r="H73" i="12"/>
  <c r="I73" i="12"/>
  <c r="E74" i="12"/>
  <c r="G74" i="12"/>
  <c r="H74" i="12"/>
  <c r="I74" i="12"/>
  <c r="E75" i="12"/>
  <c r="G75" i="12"/>
  <c r="H75" i="12"/>
  <c r="I75" i="12"/>
  <c r="E76" i="12"/>
  <c r="G76" i="12"/>
  <c r="H76" i="12"/>
  <c r="I76" i="12"/>
  <c r="E77" i="12"/>
  <c r="G77" i="12"/>
  <c r="H77" i="12"/>
  <c r="I77" i="12"/>
  <c r="E78" i="12"/>
  <c r="G78" i="12"/>
  <c r="H78" i="12"/>
  <c r="I78" i="12"/>
  <c r="E79" i="12"/>
  <c r="G79" i="12"/>
  <c r="H79" i="12"/>
  <c r="I79" i="12"/>
  <c r="E80" i="12"/>
  <c r="G80" i="12"/>
  <c r="H80" i="12"/>
  <c r="I80" i="12"/>
  <c r="E81" i="12"/>
  <c r="G81" i="12"/>
  <c r="H81" i="12"/>
  <c r="I81" i="12"/>
  <c r="E82" i="12"/>
  <c r="G82" i="12"/>
  <c r="H82" i="12"/>
  <c r="I82" i="12"/>
  <c r="E83" i="12"/>
  <c r="G83" i="12"/>
  <c r="H83" i="12"/>
  <c r="I83" i="12"/>
  <c r="E84" i="12"/>
  <c r="G84" i="12"/>
  <c r="H84" i="12"/>
  <c r="I84" i="12"/>
  <c r="E85" i="12"/>
  <c r="G85" i="12"/>
  <c r="H85" i="12"/>
  <c r="I85" i="12"/>
  <c r="E86" i="12"/>
  <c r="G86" i="12"/>
  <c r="H86" i="12"/>
  <c r="I86" i="12"/>
  <c r="E88" i="12"/>
  <c r="G88" i="12"/>
  <c r="H88" i="12"/>
  <c r="I88" i="12"/>
  <c r="E89" i="12"/>
  <c r="G89" i="12"/>
  <c r="H89" i="12"/>
  <c r="I89" i="12"/>
  <c r="E90" i="12"/>
  <c r="G90" i="12"/>
  <c r="H90" i="12"/>
  <c r="I90" i="12"/>
  <c r="E91" i="12"/>
  <c r="G91" i="12"/>
  <c r="H91" i="12"/>
  <c r="I91" i="12"/>
  <c r="E92" i="12"/>
  <c r="G92" i="12"/>
  <c r="H92" i="12"/>
  <c r="I92" i="12"/>
  <c r="E93" i="12"/>
  <c r="G93" i="12"/>
  <c r="H93" i="12"/>
  <c r="I93" i="12"/>
  <c r="E95" i="12"/>
  <c r="G95" i="12"/>
  <c r="H95" i="12"/>
  <c r="I95" i="12"/>
  <c r="E96" i="12"/>
  <c r="G96" i="12"/>
  <c r="H96" i="12"/>
  <c r="I96" i="12"/>
  <c r="E97" i="12"/>
  <c r="G97" i="12"/>
  <c r="H97" i="12"/>
  <c r="I97" i="12"/>
  <c r="E99" i="12"/>
  <c r="G99" i="12"/>
  <c r="H99" i="12"/>
  <c r="I99" i="12"/>
  <c r="E100" i="12"/>
  <c r="G100" i="12"/>
  <c r="H100" i="12"/>
  <c r="I100" i="12"/>
  <c r="E101" i="12"/>
  <c r="G101" i="12"/>
  <c r="H101" i="12"/>
  <c r="I101" i="12"/>
  <c r="E102" i="12"/>
  <c r="G102" i="12"/>
  <c r="H102" i="12"/>
  <c r="I102" i="12"/>
  <c r="E103" i="12"/>
  <c r="G103" i="12"/>
  <c r="H103" i="12"/>
  <c r="I103" i="12"/>
  <c r="E70" i="12"/>
  <c r="G70" i="12"/>
  <c r="H70" i="12"/>
  <c r="I70" i="12"/>
  <c r="E71" i="12"/>
  <c r="G71" i="12"/>
  <c r="H71" i="12"/>
  <c r="I71" i="12"/>
  <c r="C105" i="12"/>
  <c r="D105" i="12"/>
  <c r="E6" i="3"/>
  <c r="G6" i="3"/>
  <c r="H6" i="3"/>
  <c r="I6" i="3"/>
  <c r="E7" i="3"/>
  <c r="G7" i="3"/>
  <c r="H7" i="3"/>
  <c r="I7" i="3"/>
  <c r="E8" i="3"/>
  <c r="G8" i="3"/>
  <c r="H8" i="3"/>
  <c r="I8" i="3"/>
  <c r="E9" i="3"/>
  <c r="G9" i="3"/>
  <c r="H9" i="3"/>
  <c r="I9" i="3"/>
  <c r="E10" i="3"/>
  <c r="G10" i="3"/>
  <c r="H10" i="3"/>
  <c r="I10" i="3"/>
  <c r="E11" i="3"/>
  <c r="G11" i="3"/>
  <c r="H11" i="3"/>
  <c r="I11" i="3"/>
  <c r="E12" i="3"/>
  <c r="G12" i="3"/>
  <c r="H12" i="3"/>
  <c r="I12" i="3"/>
  <c r="E13" i="3"/>
  <c r="G13" i="3"/>
  <c r="H13" i="3"/>
  <c r="I13" i="3"/>
  <c r="E14" i="3"/>
  <c r="G14" i="3"/>
  <c r="H14" i="3"/>
  <c r="I14" i="3"/>
  <c r="E15" i="3"/>
  <c r="G15" i="3"/>
  <c r="H15" i="3"/>
  <c r="I15" i="3"/>
  <c r="E16" i="3"/>
  <c r="G16" i="3"/>
  <c r="H16" i="3"/>
  <c r="I16" i="3"/>
  <c r="C18" i="3"/>
  <c r="D18" i="3"/>
  <c r="F18" i="3"/>
  <c r="E22" i="3"/>
  <c r="G22" i="3"/>
  <c r="H22" i="3"/>
  <c r="I22" i="3"/>
  <c r="E23" i="3"/>
  <c r="H23" i="3"/>
  <c r="I23" i="3"/>
  <c r="E24" i="3"/>
  <c r="H24" i="3"/>
  <c r="I24" i="3"/>
  <c r="E25" i="3"/>
  <c r="H25" i="3"/>
  <c r="I25" i="3"/>
  <c r="E26" i="3"/>
  <c r="H26" i="3"/>
  <c r="I26" i="3"/>
  <c r="E27" i="3"/>
  <c r="H27" i="3"/>
  <c r="I27" i="3"/>
  <c r="E28" i="3"/>
  <c r="H28" i="3"/>
  <c r="I28" i="3"/>
  <c r="E29" i="3"/>
  <c r="I29" i="3"/>
  <c r="E30" i="3"/>
  <c r="H30" i="3"/>
  <c r="I30" i="3"/>
  <c r="E31" i="3"/>
  <c r="H31" i="3"/>
  <c r="I31" i="3"/>
  <c r="E32" i="3"/>
  <c r="H32" i="3"/>
  <c r="I32" i="3"/>
  <c r="E33" i="3"/>
  <c r="H33" i="3"/>
  <c r="I33" i="3"/>
  <c r="E34" i="3"/>
  <c r="H34" i="3"/>
  <c r="I34" i="3"/>
  <c r="E35" i="3"/>
  <c r="H35" i="3"/>
  <c r="I35" i="3"/>
  <c r="E36" i="3"/>
  <c r="H36" i="3"/>
  <c r="I36" i="3"/>
  <c r="E37" i="3"/>
  <c r="H37" i="3"/>
  <c r="I37" i="3"/>
  <c r="E38" i="3"/>
  <c r="H38" i="3"/>
  <c r="I38" i="3"/>
  <c r="E39" i="3"/>
  <c r="H39" i="3"/>
  <c r="I39" i="3"/>
  <c r="E40" i="3"/>
  <c r="H40" i="3"/>
  <c r="I40" i="3"/>
  <c r="E41" i="3"/>
  <c r="H41" i="3"/>
  <c r="I41" i="3"/>
  <c r="E42" i="3"/>
  <c r="H42" i="3"/>
  <c r="I42" i="3"/>
  <c r="E43" i="3"/>
  <c r="H43" i="3"/>
  <c r="I43" i="3"/>
  <c r="E44" i="3"/>
  <c r="H44" i="3"/>
  <c r="I44" i="3"/>
  <c r="E45" i="3"/>
  <c r="H45" i="3"/>
  <c r="I45" i="3"/>
  <c r="E46" i="3"/>
  <c r="H46" i="3"/>
  <c r="I46" i="3"/>
  <c r="E47" i="3"/>
  <c r="H47" i="3"/>
  <c r="I47" i="3"/>
  <c r="E48" i="3"/>
  <c r="H48" i="3"/>
  <c r="I48" i="3"/>
  <c r="E49" i="3"/>
  <c r="H49" i="3"/>
  <c r="I49" i="3"/>
  <c r="E50" i="3"/>
  <c r="H50" i="3"/>
  <c r="I50" i="3"/>
  <c r="E51" i="3"/>
  <c r="H51" i="3"/>
  <c r="I51" i="3"/>
  <c r="E52" i="3"/>
  <c r="H52" i="3"/>
  <c r="I52" i="3"/>
  <c r="E53" i="3"/>
  <c r="H53" i="3"/>
  <c r="I53" i="3"/>
  <c r="E54" i="3"/>
  <c r="H54" i="3"/>
  <c r="I54" i="3"/>
  <c r="E55" i="3"/>
  <c r="H55" i="3"/>
  <c r="I55" i="3"/>
  <c r="E56" i="3"/>
  <c r="H56" i="3"/>
  <c r="I56" i="3"/>
  <c r="E57" i="3"/>
  <c r="H57" i="3"/>
  <c r="I57" i="3"/>
  <c r="E58" i="3"/>
  <c r="H58" i="3"/>
  <c r="I58" i="3"/>
  <c r="E59" i="3"/>
  <c r="H59" i="3"/>
  <c r="I59" i="3"/>
  <c r="E60" i="3"/>
  <c r="H60" i="3"/>
  <c r="I60" i="3"/>
  <c r="E61" i="3"/>
  <c r="H61" i="3"/>
  <c r="I61" i="3"/>
  <c r="E62" i="3"/>
  <c r="H62" i="3"/>
  <c r="I62" i="3"/>
  <c r="E63" i="3"/>
  <c r="H63" i="3"/>
  <c r="I63" i="3"/>
  <c r="E64" i="3"/>
  <c r="H64" i="3"/>
  <c r="I64" i="3"/>
  <c r="E65" i="3"/>
  <c r="H65" i="3"/>
  <c r="I65" i="3"/>
  <c r="E67" i="3"/>
  <c r="H67" i="3"/>
  <c r="I67" i="3"/>
  <c r="C69" i="3"/>
  <c r="D69" i="3"/>
  <c r="F69" i="3"/>
  <c r="E7" i="11"/>
  <c r="G7" i="11"/>
  <c r="H7" i="11"/>
  <c r="I7" i="11"/>
  <c r="E8" i="11"/>
  <c r="G8" i="11"/>
  <c r="H8" i="11"/>
  <c r="I8" i="11"/>
  <c r="E9" i="11"/>
  <c r="G9" i="11"/>
  <c r="H9" i="11"/>
  <c r="I9" i="11"/>
  <c r="E10" i="11"/>
  <c r="G10" i="11"/>
  <c r="H10" i="11"/>
  <c r="I10" i="11"/>
  <c r="C12" i="11"/>
  <c r="D12" i="11"/>
  <c r="F12" i="11"/>
  <c r="E16" i="11"/>
  <c r="G16" i="11"/>
  <c r="H16" i="11"/>
  <c r="I16" i="11"/>
  <c r="E17" i="11"/>
  <c r="G17" i="11"/>
  <c r="H17" i="11"/>
  <c r="I17" i="11"/>
  <c r="E18" i="11"/>
  <c r="G18" i="11"/>
  <c r="H18" i="11"/>
  <c r="I18" i="11"/>
  <c r="E19" i="11"/>
  <c r="G19" i="11"/>
  <c r="H19" i="11"/>
  <c r="I19" i="11"/>
  <c r="E20" i="11"/>
  <c r="G20" i="11"/>
  <c r="H20" i="11"/>
  <c r="I20" i="11"/>
  <c r="E21" i="11"/>
  <c r="G21" i="11"/>
  <c r="H21" i="11"/>
  <c r="I21" i="11"/>
  <c r="E22" i="11"/>
  <c r="G22" i="11"/>
  <c r="H22" i="11"/>
  <c r="I22" i="11"/>
  <c r="E24" i="11"/>
  <c r="G24" i="11"/>
  <c r="H24" i="11"/>
  <c r="I24" i="11"/>
  <c r="C26" i="11"/>
  <c r="D26" i="11"/>
  <c r="F26" i="11"/>
  <c r="I26" i="11" s="1"/>
  <c r="D28" i="11"/>
  <c r="I3" i="19"/>
  <c r="E7" i="2"/>
  <c r="G7" i="2"/>
  <c r="H7" i="2"/>
  <c r="I7" i="2"/>
  <c r="E8" i="2"/>
  <c r="G8" i="2"/>
  <c r="H8" i="2"/>
  <c r="I8" i="2"/>
  <c r="E9" i="2"/>
  <c r="G9" i="2"/>
  <c r="H9" i="2"/>
  <c r="I9" i="2"/>
  <c r="E10" i="2"/>
  <c r="G10" i="2"/>
  <c r="H10" i="2"/>
  <c r="I10" i="2"/>
  <c r="E11" i="2"/>
  <c r="G11" i="2"/>
  <c r="H11" i="2"/>
  <c r="I11" i="2"/>
  <c r="E12" i="2"/>
  <c r="G12" i="2"/>
  <c r="H12" i="2"/>
  <c r="I12" i="2"/>
  <c r="E13" i="2"/>
  <c r="G13" i="2"/>
  <c r="H13" i="2"/>
  <c r="I13" i="2"/>
  <c r="E14" i="2"/>
  <c r="G14" i="2"/>
  <c r="H14" i="2"/>
  <c r="I14" i="2"/>
  <c r="E15" i="2"/>
  <c r="G15" i="2"/>
  <c r="H15" i="2"/>
  <c r="I15" i="2"/>
  <c r="E16" i="2"/>
  <c r="G16" i="2"/>
  <c r="H16" i="2"/>
  <c r="I16" i="2"/>
  <c r="E17" i="2"/>
  <c r="G17" i="2"/>
  <c r="H17" i="2"/>
  <c r="I17" i="2"/>
  <c r="E18" i="2"/>
  <c r="G18" i="2"/>
  <c r="H18" i="2"/>
  <c r="I18" i="2"/>
  <c r="E19" i="2"/>
  <c r="G19" i="2"/>
  <c r="H19" i="2"/>
  <c r="I19" i="2"/>
  <c r="E20" i="2"/>
  <c r="G20" i="2"/>
  <c r="H20" i="2"/>
  <c r="I20" i="2"/>
  <c r="E21" i="2"/>
  <c r="G21" i="2"/>
  <c r="H21" i="2"/>
  <c r="I21" i="2"/>
  <c r="C23" i="2"/>
  <c r="D23" i="2"/>
  <c r="F23" i="2"/>
  <c r="E27" i="2"/>
  <c r="G27" i="2"/>
  <c r="H27" i="2"/>
  <c r="I27" i="2"/>
  <c r="E28" i="2"/>
  <c r="G28" i="2"/>
  <c r="H28" i="2"/>
  <c r="I28" i="2"/>
  <c r="E29" i="2"/>
  <c r="G29" i="2"/>
  <c r="H29" i="2"/>
  <c r="I29" i="2"/>
  <c r="E30" i="2"/>
  <c r="G30" i="2"/>
  <c r="H30" i="2"/>
  <c r="I30" i="2"/>
  <c r="E31" i="2"/>
  <c r="G31" i="2"/>
  <c r="H31" i="2"/>
  <c r="I31" i="2"/>
  <c r="E32" i="2"/>
  <c r="G32" i="2"/>
  <c r="H32" i="2"/>
  <c r="I32" i="2"/>
  <c r="E33" i="2"/>
  <c r="G33" i="2"/>
  <c r="H33" i="2"/>
  <c r="I33" i="2"/>
  <c r="E34" i="2"/>
  <c r="G34" i="2"/>
  <c r="H34" i="2"/>
  <c r="I34" i="2"/>
  <c r="E35" i="2"/>
  <c r="G35" i="2"/>
  <c r="H35" i="2"/>
  <c r="I35" i="2"/>
  <c r="E36" i="2"/>
  <c r="G36" i="2"/>
  <c r="H36" i="2"/>
  <c r="I36" i="2"/>
  <c r="E37" i="2"/>
  <c r="G37" i="2"/>
  <c r="H37" i="2"/>
  <c r="I37" i="2"/>
  <c r="E38" i="2"/>
  <c r="G38" i="2"/>
  <c r="H38" i="2"/>
  <c r="I38" i="2"/>
  <c r="E39" i="2"/>
  <c r="G39" i="2"/>
  <c r="H39" i="2"/>
  <c r="I39" i="2"/>
  <c r="E40" i="2"/>
  <c r="G40" i="2"/>
  <c r="H40" i="2"/>
  <c r="I40" i="2"/>
  <c r="E41" i="2"/>
  <c r="G41" i="2"/>
  <c r="H41" i="2"/>
  <c r="I41" i="2"/>
  <c r="E43" i="2"/>
  <c r="G43" i="2"/>
  <c r="H43" i="2"/>
  <c r="I43" i="2"/>
  <c r="E44" i="2"/>
  <c r="G44" i="2"/>
  <c r="H44" i="2"/>
  <c r="I44" i="2"/>
  <c r="E45" i="2"/>
  <c r="G45" i="2"/>
  <c r="H45" i="2"/>
  <c r="I45" i="2"/>
  <c r="E46" i="2"/>
  <c r="G46" i="2"/>
  <c r="H46" i="2"/>
  <c r="I46" i="2"/>
  <c r="E47" i="2"/>
  <c r="G47" i="2"/>
  <c r="H47" i="2"/>
  <c r="I47" i="2"/>
  <c r="E48" i="2"/>
  <c r="G48" i="2"/>
  <c r="H48" i="2"/>
  <c r="I48" i="2"/>
  <c r="E49" i="2"/>
  <c r="G49" i="2"/>
  <c r="H49" i="2"/>
  <c r="I49" i="2"/>
  <c r="E50" i="2"/>
  <c r="G50" i="2"/>
  <c r="H50" i="2"/>
  <c r="I50" i="2"/>
  <c r="E51" i="2"/>
  <c r="G51" i="2"/>
  <c r="H51" i="2"/>
  <c r="I51" i="2"/>
  <c r="E52" i="2"/>
  <c r="G52" i="2"/>
  <c r="H52" i="2"/>
  <c r="I52" i="2"/>
  <c r="E53" i="2"/>
  <c r="G53" i="2"/>
  <c r="H53" i="2"/>
  <c r="I53" i="2"/>
  <c r="E54" i="2"/>
  <c r="G54" i="2"/>
  <c r="H54" i="2"/>
  <c r="I54" i="2"/>
  <c r="E55" i="2"/>
  <c r="G55" i="2"/>
  <c r="H55" i="2"/>
  <c r="I55" i="2"/>
  <c r="E56" i="2"/>
  <c r="G56" i="2"/>
  <c r="H56" i="2"/>
  <c r="I56" i="2"/>
  <c r="E57" i="2"/>
  <c r="G57" i="2"/>
  <c r="H57" i="2"/>
  <c r="I57" i="2"/>
  <c r="E58" i="2"/>
  <c r="G58" i="2"/>
  <c r="H58" i="2"/>
  <c r="I58" i="2"/>
  <c r="E59" i="2"/>
  <c r="G59" i="2"/>
  <c r="H59" i="2"/>
  <c r="I59" i="2"/>
  <c r="E60" i="2"/>
  <c r="G60" i="2"/>
  <c r="H60" i="2"/>
  <c r="I60" i="2"/>
  <c r="E61" i="2"/>
  <c r="G61" i="2"/>
  <c r="H61" i="2"/>
  <c r="I61" i="2"/>
  <c r="E62" i="2"/>
  <c r="G62" i="2"/>
  <c r="H62" i="2"/>
  <c r="I62" i="2"/>
  <c r="E63" i="2"/>
  <c r="G63" i="2"/>
  <c r="H63" i="2"/>
  <c r="I63" i="2"/>
  <c r="E64" i="2"/>
  <c r="G64" i="2"/>
  <c r="H64" i="2"/>
  <c r="I64" i="2"/>
  <c r="E65" i="2"/>
  <c r="G65" i="2"/>
  <c r="H65" i="2"/>
  <c r="I65" i="2"/>
  <c r="E66" i="2"/>
  <c r="G66" i="2"/>
  <c r="H66" i="2"/>
  <c r="I66" i="2"/>
  <c r="E67" i="2"/>
  <c r="G67" i="2"/>
  <c r="H67" i="2"/>
  <c r="I67" i="2"/>
  <c r="E68" i="2"/>
  <c r="G68" i="2"/>
  <c r="H68" i="2"/>
  <c r="I68" i="2"/>
  <c r="E69" i="2"/>
  <c r="G69" i="2"/>
  <c r="H69" i="2"/>
  <c r="I69" i="2"/>
  <c r="E70" i="2"/>
  <c r="G70" i="2"/>
  <c r="H70" i="2"/>
  <c r="I70" i="2"/>
  <c r="E71" i="2"/>
  <c r="G71" i="2"/>
  <c r="H71" i="2"/>
  <c r="I71" i="2"/>
  <c r="E72" i="2"/>
  <c r="G72" i="2"/>
  <c r="H72" i="2"/>
  <c r="I72" i="2"/>
  <c r="E73" i="2"/>
  <c r="G73" i="2"/>
  <c r="H73" i="2"/>
  <c r="I73" i="2"/>
  <c r="E74" i="2"/>
  <c r="G74" i="2"/>
  <c r="H74" i="2"/>
  <c r="I74" i="2"/>
  <c r="E75" i="2"/>
  <c r="G75" i="2"/>
  <c r="H75" i="2"/>
  <c r="I75" i="2"/>
  <c r="E76" i="2"/>
  <c r="G76" i="2"/>
  <c r="H76" i="2"/>
  <c r="I76" i="2"/>
  <c r="E77" i="2"/>
  <c r="G77" i="2"/>
  <c r="H77" i="2"/>
  <c r="I77" i="2"/>
  <c r="E78" i="2"/>
  <c r="G78" i="2"/>
  <c r="H78" i="2"/>
  <c r="I78" i="2"/>
  <c r="E79" i="2"/>
  <c r="G79" i="2"/>
  <c r="H79" i="2"/>
  <c r="I79" i="2"/>
  <c r="E80" i="2"/>
  <c r="G80" i="2"/>
  <c r="H80" i="2"/>
  <c r="I80" i="2"/>
  <c r="E81" i="2"/>
  <c r="G81" i="2"/>
  <c r="H81" i="2"/>
  <c r="I81" i="2"/>
  <c r="E82" i="2"/>
  <c r="G82" i="2"/>
  <c r="H82" i="2"/>
  <c r="I82" i="2"/>
  <c r="E96" i="2"/>
  <c r="G96" i="2"/>
  <c r="H96" i="2"/>
  <c r="I96" i="2"/>
  <c r="E97" i="2"/>
  <c r="G97" i="2"/>
  <c r="H97" i="2"/>
  <c r="I97" i="2"/>
  <c r="E98" i="2"/>
  <c r="G98" i="2"/>
  <c r="H98" i="2"/>
  <c r="I98" i="2"/>
  <c r="E99" i="2"/>
  <c r="G99" i="2"/>
  <c r="H99" i="2"/>
  <c r="I99" i="2"/>
  <c r="E100" i="2"/>
  <c r="G100" i="2"/>
  <c r="H100" i="2"/>
  <c r="I100" i="2"/>
  <c r="E101" i="2"/>
  <c r="G101" i="2"/>
  <c r="H101" i="2"/>
  <c r="I101" i="2"/>
  <c r="E102" i="2"/>
  <c r="G102" i="2"/>
  <c r="H102" i="2"/>
  <c r="I102" i="2"/>
  <c r="E103" i="2"/>
  <c r="G103" i="2"/>
  <c r="H103" i="2"/>
  <c r="I103" i="2"/>
  <c r="E104" i="2"/>
  <c r="G104" i="2"/>
  <c r="H104" i="2"/>
  <c r="I104" i="2"/>
  <c r="E105" i="2"/>
  <c r="G105" i="2"/>
  <c r="H105" i="2"/>
  <c r="I105" i="2"/>
  <c r="E106" i="2"/>
  <c r="G106" i="2"/>
  <c r="H106" i="2"/>
  <c r="I106" i="2"/>
  <c r="E107" i="2"/>
  <c r="G107" i="2"/>
  <c r="H107" i="2"/>
  <c r="I107" i="2"/>
  <c r="C109" i="2"/>
  <c r="D109" i="2"/>
  <c r="F109" i="2"/>
  <c r="G7" i="4"/>
  <c r="H7" i="4"/>
  <c r="I7" i="4"/>
  <c r="G8" i="4"/>
  <c r="H8" i="4"/>
  <c r="I8" i="4"/>
  <c r="E9" i="4"/>
  <c r="G9" i="4"/>
  <c r="H9" i="4"/>
  <c r="I9" i="4"/>
  <c r="E10" i="4"/>
  <c r="G10" i="4"/>
  <c r="H10" i="4"/>
  <c r="I10" i="4"/>
  <c r="E11" i="4"/>
  <c r="G11" i="4"/>
  <c r="H11" i="4"/>
  <c r="I11" i="4"/>
  <c r="E12" i="4"/>
  <c r="G12" i="4"/>
  <c r="H12" i="4"/>
  <c r="I12" i="4"/>
  <c r="E13" i="4"/>
  <c r="G13" i="4"/>
  <c r="H13" i="4"/>
  <c r="I13" i="4"/>
  <c r="E14" i="4"/>
  <c r="G14" i="4"/>
  <c r="H14" i="4"/>
  <c r="I14" i="4"/>
  <c r="E15" i="4"/>
  <c r="G15" i="4"/>
  <c r="H15" i="4"/>
  <c r="I15" i="4"/>
  <c r="E16" i="4"/>
  <c r="G16" i="4"/>
  <c r="H16" i="4"/>
  <c r="I16" i="4"/>
  <c r="E17" i="4"/>
  <c r="G17" i="4"/>
  <c r="H17" i="4"/>
  <c r="I17" i="4"/>
  <c r="E18" i="4"/>
  <c r="G18" i="4"/>
  <c r="H18" i="4"/>
  <c r="I18" i="4"/>
  <c r="C20" i="4"/>
  <c r="D20" i="4"/>
  <c r="F20" i="4"/>
  <c r="E24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H30" i="4"/>
  <c r="I30" i="4"/>
  <c r="G31" i="4"/>
  <c r="H31" i="4"/>
  <c r="I31" i="4"/>
  <c r="E32" i="4"/>
  <c r="G32" i="4"/>
  <c r="H32" i="4"/>
  <c r="I32" i="4"/>
  <c r="E33" i="4"/>
  <c r="G33" i="4"/>
  <c r="H33" i="4"/>
  <c r="I33" i="4"/>
  <c r="E34" i="4"/>
  <c r="G34" i="4"/>
  <c r="H34" i="4"/>
  <c r="I34" i="4"/>
  <c r="E35" i="4"/>
  <c r="G35" i="4"/>
  <c r="H35" i="4"/>
  <c r="I35" i="4"/>
  <c r="E36" i="4"/>
  <c r="G36" i="4"/>
  <c r="H36" i="4"/>
  <c r="I36" i="4"/>
  <c r="E37" i="4"/>
  <c r="G37" i="4"/>
  <c r="H37" i="4"/>
  <c r="I37" i="4"/>
  <c r="E38" i="4"/>
  <c r="G38" i="4"/>
  <c r="H38" i="4"/>
  <c r="I38" i="4"/>
  <c r="E39" i="4"/>
  <c r="G39" i="4"/>
  <c r="H39" i="4"/>
  <c r="I39" i="4"/>
  <c r="G40" i="4"/>
  <c r="H40" i="4"/>
  <c r="I40" i="4"/>
  <c r="E41" i="4"/>
  <c r="G41" i="4"/>
  <c r="H41" i="4"/>
  <c r="I41" i="4"/>
  <c r="E42" i="4"/>
  <c r="G42" i="4"/>
  <c r="H42" i="4"/>
  <c r="I42" i="4"/>
  <c r="E43" i="4"/>
  <c r="G43" i="4"/>
  <c r="H43" i="4"/>
  <c r="I43" i="4"/>
  <c r="E44" i="4"/>
  <c r="G44" i="4"/>
  <c r="H44" i="4"/>
  <c r="I44" i="4"/>
  <c r="E45" i="4"/>
  <c r="G45" i="4"/>
  <c r="H45" i="4"/>
  <c r="I45" i="4"/>
  <c r="E46" i="4"/>
  <c r="G46" i="4"/>
  <c r="H46" i="4"/>
  <c r="I46" i="4"/>
  <c r="E47" i="4"/>
  <c r="G47" i="4"/>
  <c r="H47" i="4"/>
  <c r="I47" i="4"/>
  <c r="E48" i="4"/>
  <c r="G48" i="4"/>
  <c r="H48" i="4"/>
  <c r="I48" i="4"/>
  <c r="E49" i="4"/>
  <c r="G49" i="4"/>
  <c r="H49" i="4"/>
  <c r="I49" i="4"/>
  <c r="E50" i="4"/>
  <c r="G50" i="4"/>
  <c r="H50" i="4"/>
  <c r="I50" i="4"/>
  <c r="E51" i="4"/>
  <c r="G51" i="4"/>
  <c r="H51" i="4"/>
  <c r="I51" i="4"/>
  <c r="E52" i="4"/>
  <c r="G52" i="4"/>
  <c r="H52" i="4"/>
  <c r="I52" i="4"/>
  <c r="E53" i="4"/>
  <c r="G53" i="4"/>
  <c r="H53" i="4"/>
  <c r="I53" i="4"/>
  <c r="E54" i="4"/>
  <c r="G54" i="4"/>
  <c r="H54" i="4"/>
  <c r="I54" i="4"/>
  <c r="E55" i="4"/>
  <c r="G55" i="4"/>
  <c r="H55" i="4"/>
  <c r="I55" i="4"/>
  <c r="E56" i="4"/>
  <c r="G56" i="4"/>
  <c r="H56" i="4"/>
  <c r="I56" i="4"/>
  <c r="E57" i="4"/>
  <c r="G57" i="4"/>
  <c r="H57" i="4"/>
  <c r="I57" i="4"/>
  <c r="E59" i="4"/>
  <c r="G59" i="4"/>
  <c r="H59" i="4"/>
  <c r="I59" i="4"/>
  <c r="E61" i="4"/>
  <c r="G61" i="4"/>
  <c r="H61" i="4"/>
  <c r="I61" i="4"/>
  <c r="E62" i="4"/>
  <c r="G62" i="4"/>
  <c r="H62" i="4"/>
  <c r="I62" i="4"/>
  <c r="E63" i="4"/>
  <c r="G63" i="4"/>
  <c r="H63" i="4"/>
  <c r="I63" i="4"/>
  <c r="E64" i="4"/>
  <c r="G64" i="4"/>
  <c r="H64" i="4"/>
  <c r="I64" i="4"/>
  <c r="E65" i="4"/>
  <c r="G65" i="4"/>
  <c r="H65" i="4"/>
  <c r="I65" i="4"/>
  <c r="E66" i="4"/>
  <c r="G66" i="4"/>
  <c r="H66" i="4"/>
  <c r="I66" i="4"/>
  <c r="E67" i="4"/>
  <c r="G67" i="4"/>
  <c r="H67" i="4"/>
  <c r="I67" i="4"/>
  <c r="E68" i="4"/>
  <c r="G68" i="4"/>
  <c r="H68" i="4"/>
  <c r="I68" i="4"/>
  <c r="E69" i="4"/>
  <c r="G69" i="4"/>
  <c r="H69" i="4"/>
  <c r="I69" i="4"/>
  <c r="E70" i="4"/>
  <c r="G70" i="4"/>
  <c r="H70" i="4"/>
  <c r="I70" i="4"/>
  <c r="E71" i="4"/>
  <c r="G71" i="4"/>
  <c r="H71" i="4"/>
  <c r="I71" i="4"/>
  <c r="E72" i="4"/>
  <c r="G72" i="4"/>
  <c r="H72" i="4"/>
  <c r="I72" i="4"/>
  <c r="C74" i="4"/>
  <c r="D74" i="4"/>
  <c r="F74" i="4"/>
  <c r="I74" i="4" s="1"/>
  <c r="E10" i="8"/>
  <c r="G7" i="8"/>
  <c r="E8" i="8"/>
  <c r="G8" i="8"/>
  <c r="G10" i="8" s="1"/>
  <c r="H8" i="8"/>
  <c r="I8" i="8"/>
  <c r="C10" i="8"/>
  <c r="D10" i="8"/>
  <c r="F10" i="8"/>
  <c r="H10" i="8" s="1"/>
  <c r="E14" i="8"/>
  <c r="G14" i="8"/>
  <c r="H14" i="8"/>
  <c r="I14" i="8"/>
  <c r="E15" i="8"/>
  <c r="G15" i="8"/>
  <c r="H15" i="8"/>
  <c r="I15" i="8"/>
  <c r="E16" i="8"/>
  <c r="G16" i="8"/>
  <c r="H16" i="8"/>
  <c r="I16" i="8"/>
  <c r="E17" i="8"/>
  <c r="G17" i="8"/>
  <c r="H17" i="8"/>
  <c r="I17" i="8"/>
  <c r="E18" i="8"/>
  <c r="G18" i="8"/>
  <c r="H18" i="8"/>
  <c r="I18" i="8"/>
  <c r="E19" i="8"/>
  <c r="G19" i="8"/>
  <c r="H19" i="8"/>
  <c r="I19" i="8"/>
  <c r="E20" i="8"/>
  <c r="G20" i="8"/>
  <c r="H20" i="8"/>
  <c r="I20" i="8"/>
  <c r="E21" i="8"/>
  <c r="G21" i="8"/>
  <c r="H21" i="8"/>
  <c r="I21" i="8"/>
  <c r="E22" i="8"/>
  <c r="G22" i="8"/>
  <c r="H22" i="8"/>
  <c r="I22" i="8"/>
  <c r="E23" i="8"/>
  <c r="G23" i="8"/>
  <c r="H23" i="8"/>
  <c r="I23" i="8"/>
  <c r="C25" i="8"/>
  <c r="D25" i="8"/>
  <c r="F25" i="8"/>
  <c r="I25" i="8" s="1"/>
  <c r="D27" i="8"/>
  <c r="E6" i="6"/>
  <c r="G6" i="6"/>
  <c r="H6" i="6"/>
  <c r="I6" i="6"/>
  <c r="C8" i="6"/>
  <c r="C14" i="6" s="1"/>
  <c r="B9" i="1" s="1"/>
  <c r="D8" i="6"/>
  <c r="F8" i="6"/>
  <c r="H8" i="6" s="1"/>
  <c r="E10" i="6"/>
  <c r="E12" i="6" s="1"/>
  <c r="G10" i="6"/>
  <c r="G12" i="6" s="1"/>
  <c r="H10" i="6"/>
  <c r="I10" i="6"/>
  <c r="C12" i="6"/>
  <c r="D12" i="6"/>
  <c r="F12" i="6"/>
  <c r="F14" i="6" s="1"/>
  <c r="E6" i="7"/>
  <c r="G6" i="7"/>
  <c r="H6" i="7"/>
  <c r="I6" i="7"/>
  <c r="E7" i="7"/>
  <c r="G7" i="7"/>
  <c r="H7" i="7"/>
  <c r="I7" i="7"/>
  <c r="E8" i="7"/>
  <c r="G8" i="7"/>
  <c r="H8" i="7"/>
  <c r="I8" i="7"/>
  <c r="E9" i="7"/>
  <c r="G9" i="7"/>
  <c r="H9" i="7"/>
  <c r="I9" i="7"/>
  <c r="E10" i="7"/>
  <c r="G10" i="7"/>
  <c r="H10" i="7"/>
  <c r="I10" i="7"/>
  <c r="E11" i="7"/>
  <c r="G11" i="7"/>
  <c r="H11" i="7"/>
  <c r="I11" i="7"/>
  <c r="E12" i="7"/>
  <c r="G12" i="7"/>
  <c r="H12" i="7"/>
  <c r="I12" i="7"/>
  <c r="E13" i="7"/>
  <c r="G13" i="7"/>
  <c r="H13" i="7"/>
  <c r="I13" i="7"/>
  <c r="G14" i="7"/>
  <c r="D15" i="7"/>
  <c r="F15" i="7"/>
  <c r="E17" i="7"/>
  <c r="E19" i="7" s="1"/>
  <c r="G17" i="7"/>
  <c r="G19" i="7" s="1"/>
  <c r="H17" i="7"/>
  <c r="I17" i="7"/>
  <c r="D19" i="7"/>
  <c r="F19" i="7"/>
  <c r="E21" i="7"/>
  <c r="G21" i="7"/>
  <c r="H21" i="7"/>
  <c r="I21" i="7"/>
  <c r="E22" i="7"/>
  <c r="G22" i="7"/>
  <c r="H22" i="7"/>
  <c r="I22" i="7"/>
  <c r="E23" i="7"/>
  <c r="G23" i="7"/>
  <c r="H23" i="7"/>
  <c r="I23" i="7"/>
  <c r="C25" i="7"/>
  <c r="D25" i="7"/>
  <c r="F25" i="7"/>
  <c r="G31" i="7"/>
  <c r="H31" i="7"/>
  <c r="E32" i="7"/>
  <c r="G32" i="7"/>
  <c r="H32" i="7"/>
  <c r="I32" i="7"/>
  <c r="E33" i="7"/>
  <c r="G33" i="7"/>
  <c r="H33" i="7"/>
  <c r="I33" i="7"/>
  <c r="E34" i="7"/>
  <c r="G34" i="7"/>
  <c r="H34" i="7"/>
  <c r="I34" i="7"/>
  <c r="E35" i="7"/>
  <c r="G35" i="7"/>
  <c r="H35" i="7"/>
  <c r="I35" i="7"/>
  <c r="E36" i="7"/>
  <c r="G36" i="7"/>
  <c r="H36" i="7"/>
  <c r="I36" i="7"/>
  <c r="E37" i="7"/>
  <c r="G37" i="7"/>
  <c r="H37" i="7"/>
  <c r="I37" i="7"/>
  <c r="E38" i="7"/>
  <c r="G38" i="7"/>
  <c r="H38" i="7"/>
  <c r="I38" i="7"/>
  <c r="E39" i="7"/>
  <c r="G39" i="7"/>
  <c r="H39" i="7"/>
  <c r="I39" i="7"/>
  <c r="E40" i="7"/>
  <c r="G40" i="7"/>
  <c r="H40" i="7"/>
  <c r="I40" i="7"/>
  <c r="E41" i="7"/>
  <c r="G41" i="7"/>
  <c r="H41" i="7"/>
  <c r="I41" i="7"/>
  <c r="E42" i="7"/>
  <c r="G42" i="7"/>
  <c r="H42" i="7"/>
  <c r="I42" i="7"/>
  <c r="E43" i="7"/>
  <c r="G43" i="7"/>
  <c r="H43" i="7"/>
  <c r="I43" i="7"/>
  <c r="E44" i="7"/>
  <c r="G44" i="7"/>
  <c r="H44" i="7"/>
  <c r="I44" i="7"/>
  <c r="E45" i="7"/>
  <c r="G45" i="7"/>
  <c r="H45" i="7"/>
  <c r="I45" i="7"/>
  <c r="E46" i="7"/>
  <c r="G46" i="7"/>
  <c r="H46" i="7"/>
  <c r="I46" i="7"/>
  <c r="E47" i="7"/>
  <c r="G47" i="7"/>
  <c r="H47" i="7"/>
  <c r="I47" i="7"/>
  <c r="E48" i="7"/>
  <c r="G48" i="7"/>
  <c r="H48" i="7"/>
  <c r="I48" i="7"/>
  <c r="E49" i="7"/>
  <c r="G49" i="7"/>
  <c r="H49" i="7"/>
  <c r="I49" i="7"/>
  <c r="E50" i="7"/>
  <c r="G50" i="7"/>
  <c r="H50" i="7"/>
  <c r="I50" i="7"/>
  <c r="E51" i="7"/>
  <c r="G51" i="7"/>
  <c r="H51" i="7"/>
  <c r="I51" i="7"/>
  <c r="E52" i="7"/>
  <c r="G52" i="7"/>
  <c r="H52" i="7"/>
  <c r="I52" i="7"/>
  <c r="E53" i="7"/>
  <c r="G53" i="7"/>
  <c r="H53" i="7"/>
  <c r="I53" i="7"/>
  <c r="E54" i="7"/>
  <c r="G54" i="7"/>
  <c r="H54" i="7"/>
  <c r="I54" i="7"/>
  <c r="E55" i="7"/>
  <c r="G55" i="7"/>
  <c r="H55" i="7"/>
  <c r="I55" i="7"/>
  <c r="E56" i="7"/>
  <c r="G56" i="7"/>
  <c r="H56" i="7"/>
  <c r="I56" i="7"/>
  <c r="E57" i="7"/>
  <c r="G57" i="7"/>
  <c r="H57" i="7"/>
  <c r="I57" i="7"/>
  <c r="E58" i="7"/>
  <c r="G58" i="7"/>
  <c r="H58" i="7"/>
  <c r="I58" i="7"/>
  <c r="E59" i="7"/>
  <c r="G59" i="7"/>
  <c r="H59" i="7"/>
  <c r="I59" i="7"/>
  <c r="E60" i="7"/>
  <c r="G60" i="7"/>
  <c r="H60" i="7"/>
  <c r="I60" i="7"/>
  <c r="E61" i="7"/>
  <c r="G61" i="7"/>
  <c r="H61" i="7"/>
  <c r="I61" i="7"/>
  <c r="G62" i="7"/>
  <c r="H62" i="7"/>
  <c r="I62" i="7"/>
  <c r="E63" i="7"/>
  <c r="G63" i="7"/>
  <c r="H63" i="7"/>
  <c r="I63" i="7"/>
  <c r="C65" i="7"/>
  <c r="F65" i="7"/>
  <c r="E67" i="7"/>
  <c r="E68" i="7"/>
  <c r="G68" i="7"/>
  <c r="H68" i="7"/>
  <c r="I68" i="7"/>
  <c r="E69" i="7"/>
  <c r="G69" i="7"/>
  <c r="H69" i="7"/>
  <c r="I69" i="7"/>
  <c r="E70" i="7"/>
  <c r="G70" i="7"/>
  <c r="H70" i="7"/>
  <c r="I70" i="7"/>
  <c r="E71" i="7"/>
  <c r="G71" i="7"/>
  <c r="H71" i="7"/>
  <c r="I71" i="7"/>
  <c r="E72" i="7"/>
  <c r="G72" i="7"/>
  <c r="H72" i="7"/>
  <c r="I72" i="7"/>
  <c r="E73" i="7"/>
  <c r="G73" i="7"/>
  <c r="H73" i="7"/>
  <c r="I73" i="7"/>
  <c r="E74" i="7"/>
  <c r="G74" i="7"/>
  <c r="H74" i="7"/>
  <c r="I74" i="7"/>
  <c r="E75" i="7"/>
  <c r="G75" i="7"/>
  <c r="H75" i="7"/>
  <c r="I75" i="7"/>
  <c r="E76" i="7"/>
  <c r="G76" i="7"/>
  <c r="H76" i="7"/>
  <c r="I76" i="7"/>
  <c r="E77" i="7"/>
  <c r="G77" i="7"/>
  <c r="H77" i="7"/>
  <c r="I77" i="7"/>
  <c r="E78" i="7"/>
  <c r="G78" i="7"/>
  <c r="H78" i="7"/>
  <c r="I78" i="7"/>
  <c r="E79" i="7"/>
  <c r="G79" i="7"/>
  <c r="H79" i="7"/>
  <c r="I79" i="7"/>
  <c r="E80" i="7"/>
  <c r="G80" i="7"/>
  <c r="H80" i="7"/>
  <c r="I80" i="7"/>
  <c r="E81" i="7"/>
  <c r="G81" i="7"/>
  <c r="H81" i="7"/>
  <c r="I81" i="7"/>
  <c r="E82" i="7"/>
  <c r="G82" i="7"/>
  <c r="H82" i="7"/>
  <c r="I82" i="7"/>
  <c r="E83" i="7"/>
  <c r="G83" i="7"/>
  <c r="H83" i="7"/>
  <c r="I83" i="7"/>
  <c r="C85" i="7"/>
  <c r="D85" i="7"/>
  <c r="F85" i="7"/>
  <c r="E88" i="7"/>
  <c r="G88" i="7"/>
  <c r="H88" i="7"/>
  <c r="I88" i="7"/>
  <c r="E89" i="7"/>
  <c r="G89" i="7"/>
  <c r="H89" i="7"/>
  <c r="I89" i="7"/>
  <c r="E90" i="7"/>
  <c r="G90" i="7"/>
  <c r="H90" i="7"/>
  <c r="I90" i="7"/>
  <c r="E91" i="7"/>
  <c r="G91" i="7"/>
  <c r="H91" i="7"/>
  <c r="I91" i="7"/>
  <c r="E92" i="7"/>
  <c r="G92" i="7"/>
  <c r="H92" i="7"/>
  <c r="I92" i="7"/>
  <c r="E93" i="7"/>
  <c r="G93" i="7"/>
  <c r="H93" i="7"/>
  <c r="I93" i="7"/>
  <c r="E94" i="7"/>
  <c r="G94" i="7"/>
  <c r="H94" i="7"/>
  <c r="I94" i="7"/>
  <c r="E95" i="7"/>
  <c r="G95" i="7"/>
  <c r="H95" i="7"/>
  <c r="I95" i="7"/>
  <c r="E96" i="7"/>
  <c r="G96" i="7"/>
  <c r="H96" i="7"/>
  <c r="I96" i="7"/>
  <c r="E97" i="7"/>
  <c r="G97" i="7"/>
  <c r="H97" i="7"/>
  <c r="I97" i="7"/>
  <c r="E98" i="7"/>
  <c r="G98" i="7"/>
  <c r="H98" i="7"/>
  <c r="I98" i="7"/>
  <c r="E99" i="7"/>
  <c r="G99" i="7"/>
  <c r="H99" i="7"/>
  <c r="I99" i="7"/>
  <c r="E100" i="7"/>
  <c r="G100" i="7"/>
  <c r="H100" i="7"/>
  <c r="I100" i="7"/>
  <c r="E101" i="7"/>
  <c r="G101" i="7"/>
  <c r="H101" i="7"/>
  <c r="I101" i="7"/>
  <c r="E102" i="7"/>
  <c r="G102" i="7"/>
  <c r="H102" i="7"/>
  <c r="I102" i="7"/>
  <c r="E103" i="7"/>
  <c r="G103" i="7"/>
  <c r="H103" i="7"/>
  <c r="I103" i="7"/>
  <c r="E104" i="7"/>
  <c r="G104" i="7"/>
  <c r="H104" i="7"/>
  <c r="I104" i="7"/>
  <c r="E105" i="7"/>
  <c r="G105" i="7"/>
  <c r="H105" i="7"/>
  <c r="I105" i="7"/>
  <c r="E106" i="7"/>
  <c r="G106" i="7"/>
  <c r="H106" i="7"/>
  <c r="I106" i="7"/>
  <c r="E107" i="7"/>
  <c r="G107" i="7"/>
  <c r="H107" i="7"/>
  <c r="I107" i="7"/>
  <c r="E108" i="7"/>
  <c r="G108" i="7"/>
  <c r="H108" i="7"/>
  <c r="I108" i="7"/>
  <c r="C110" i="7"/>
  <c r="D110" i="7"/>
  <c r="F110" i="7"/>
  <c r="G10" i="25"/>
  <c r="E21" i="22"/>
  <c r="H7" i="22"/>
  <c r="G17" i="20"/>
  <c r="C28" i="11"/>
  <c r="B17" i="1" s="1"/>
  <c r="H13" i="12"/>
  <c r="I31" i="7"/>
  <c r="D65" i="7"/>
  <c r="I15" i="17"/>
  <c r="E28" i="19"/>
  <c r="I12" i="19"/>
  <c r="C71" i="3" l="1"/>
  <c r="G15" i="20"/>
  <c r="E12" i="11"/>
  <c r="C111" i="2"/>
  <c r="B15" i="1" s="1"/>
  <c r="D111" i="2"/>
  <c r="I12" i="6"/>
  <c r="E13" i="16"/>
  <c r="G8" i="6"/>
  <c r="D27" i="21"/>
  <c r="C19" i="1" s="1"/>
  <c r="F3" i="7"/>
  <c r="F3" i="6"/>
  <c r="F3" i="16" s="1"/>
  <c r="C3" i="7"/>
  <c r="C3" i="15" s="1"/>
  <c r="C3" i="6"/>
  <c r="I8" i="18"/>
  <c r="G23" i="19"/>
  <c r="D26" i="18"/>
  <c r="C13" i="1" s="1"/>
  <c r="G21" i="18"/>
  <c r="I8" i="15"/>
  <c r="H8" i="15"/>
  <c r="H28" i="19"/>
  <c r="D3" i="21"/>
  <c r="F3" i="2"/>
  <c r="F3" i="19" s="1"/>
  <c r="F3" i="8"/>
  <c r="F3" i="17" s="1"/>
  <c r="D3" i="5"/>
  <c r="D3" i="3"/>
  <c r="F3" i="4"/>
  <c r="F3" i="18" s="1"/>
  <c r="F3" i="3"/>
  <c r="F3" i="21" s="1"/>
  <c r="C3" i="2"/>
  <c r="C3" i="19" s="1"/>
  <c r="D3" i="12"/>
  <c r="D3" i="20"/>
  <c r="D3" i="8"/>
  <c r="C3" i="11"/>
  <c r="C3" i="20" s="1"/>
  <c r="D3" i="22"/>
  <c r="C3" i="4"/>
  <c r="C3" i="18" s="1"/>
  <c r="D3" i="11"/>
  <c r="F3" i="12"/>
  <c r="F3" i="22" s="1"/>
  <c r="D3" i="24"/>
  <c r="D3" i="4"/>
  <c r="D3" i="17"/>
  <c r="F3" i="11"/>
  <c r="F3" i="20" s="1"/>
  <c r="C3" i="9"/>
  <c r="C3" i="25" s="1"/>
  <c r="D3" i="9"/>
  <c r="C3" i="13"/>
  <c r="C3" i="23" s="1"/>
  <c r="D3" i="18"/>
  <c r="D3" i="13"/>
  <c r="F3" i="9"/>
  <c r="F3" i="25" s="1"/>
  <c r="C3" i="3"/>
  <c r="C3" i="21" s="1"/>
  <c r="F3" i="13"/>
  <c r="F3" i="23" s="1"/>
  <c r="D3" i="2"/>
  <c r="C3" i="8"/>
  <c r="C3" i="17" s="1"/>
  <c r="C3" i="10"/>
  <c r="C3" i="27" s="1"/>
  <c r="D3" i="10"/>
  <c r="D3" i="23"/>
  <c r="C3" i="5"/>
  <c r="C3" i="24" s="1"/>
  <c r="F3" i="10"/>
  <c r="F3" i="27" s="1"/>
  <c r="C3" i="12"/>
  <c r="C3" i="22" s="1"/>
  <c r="F3" i="5"/>
  <c r="F3" i="24" s="1"/>
  <c r="D27" i="24"/>
  <c r="C25" i="1" s="1"/>
  <c r="D34" i="22"/>
  <c r="C21" i="1" s="1"/>
  <c r="I65" i="9"/>
  <c r="H65" i="9"/>
  <c r="I18" i="9"/>
  <c r="H18" i="9"/>
  <c r="H12" i="11"/>
  <c r="H17" i="20"/>
  <c r="G18" i="20"/>
  <c r="D23" i="20"/>
  <c r="C17" i="1" s="1"/>
  <c r="D17" i="1" s="1"/>
  <c r="G28" i="19"/>
  <c r="I23" i="19"/>
  <c r="G30" i="19"/>
  <c r="H23" i="19"/>
  <c r="G7" i="19"/>
  <c r="H22" i="19"/>
  <c r="G18" i="19"/>
  <c r="H30" i="19"/>
  <c r="H13" i="5"/>
  <c r="I13" i="5"/>
  <c r="D22" i="17"/>
  <c r="C11" i="1" s="1"/>
  <c r="H7" i="17"/>
  <c r="G7" i="17"/>
  <c r="H14" i="17"/>
  <c r="G14" i="17"/>
  <c r="E15" i="16"/>
  <c r="I9" i="16"/>
  <c r="D18" i="16"/>
  <c r="C9" i="1" s="1"/>
  <c r="D9" i="1" s="1"/>
  <c r="E7" i="16"/>
  <c r="C9" i="16"/>
  <c r="G9" i="16" s="1"/>
  <c r="G13" i="16"/>
  <c r="H13" i="16"/>
  <c r="F15" i="16"/>
  <c r="D26" i="15"/>
  <c r="D25" i="23"/>
  <c r="C23" i="1" s="1"/>
  <c r="C22" i="23"/>
  <c r="D32" i="25"/>
  <c r="C27" i="1" s="1"/>
  <c r="H19" i="25"/>
  <c r="D25" i="27"/>
  <c r="C29" i="1" s="1"/>
  <c r="G24" i="19"/>
  <c r="H12" i="19"/>
  <c r="G11" i="19"/>
  <c r="I25" i="19"/>
  <c r="H23" i="2"/>
  <c r="H9" i="19"/>
  <c r="H18" i="19"/>
  <c r="G21" i="19"/>
  <c r="H21" i="19"/>
  <c r="H24" i="19"/>
  <c r="D36" i="19"/>
  <c r="C15" i="1" s="1"/>
  <c r="D15" i="1" s="1"/>
  <c r="I56" i="10"/>
  <c r="H56" i="10"/>
  <c r="I18" i="10"/>
  <c r="H18" i="10"/>
  <c r="H105" i="12"/>
  <c r="H24" i="22"/>
  <c r="H28" i="22"/>
  <c r="H21" i="22"/>
  <c r="E105" i="12"/>
  <c r="G21" i="22"/>
  <c r="I28" i="22"/>
  <c r="G28" i="22"/>
  <c r="D107" i="12"/>
  <c r="H23" i="22"/>
  <c r="G19" i="22"/>
  <c r="F107" i="12"/>
  <c r="E21" i="1" s="1"/>
  <c r="H12" i="22"/>
  <c r="G12" i="22"/>
  <c r="G23" i="22"/>
  <c r="G7" i="22"/>
  <c r="G20" i="22"/>
  <c r="H16" i="21"/>
  <c r="I18" i="3"/>
  <c r="D71" i="3"/>
  <c r="G16" i="21"/>
  <c r="H9" i="21"/>
  <c r="H8" i="21"/>
  <c r="F11" i="21"/>
  <c r="I11" i="21" s="1"/>
  <c r="E8" i="21"/>
  <c r="E11" i="21" s="1"/>
  <c r="G17" i="21"/>
  <c r="I7" i="21"/>
  <c r="C11" i="21"/>
  <c r="H69" i="3"/>
  <c r="G18" i="21"/>
  <c r="H17" i="21"/>
  <c r="G8" i="21"/>
  <c r="E18" i="3"/>
  <c r="H21" i="21"/>
  <c r="H18" i="21"/>
  <c r="F19" i="17"/>
  <c r="I19" i="17" s="1"/>
  <c r="G16" i="17"/>
  <c r="E36" i="5"/>
  <c r="H17" i="24"/>
  <c r="H19" i="24"/>
  <c r="G10" i="24"/>
  <c r="H8" i="24"/>
  <c r="G19" i="24"/>
  <c r="I10" i="24"/>
  <c r="D38" i="5"/>
  <c r="H21" i="24"/>
  <c r="G7" i="24"/>
  <c r="G22" i="24"/>
  <c r="I17" i="24"/>
  <c r="G36" i="5"/>
  <c r="E24" i="24"/>
  <c r="H10" i="24"/>
  <c r="F12" i="24"/>
  <c r="I12" i="24" s="1"/>
  <c r="G8" i="24"/>
  <c r="G19" i="15"/>
  <c r="C114" i="7"/>
  <c r="C118" i="7"/>
  <c r="C27" i="7"/>
  <c r="C116" i="7"/>
  <c r="C112" i="7"/>
  <c r="H25" i="7"/>
  <c r="H8" i="18"/>
  <c r="D76" i="4"/>
  <c r="C23" i="18"/>
  <c r="I20" i="4"/>
  <c r="G15" i="18"/>
  <c r="H20" i="18"/>
  <c r="G20" i="18"/>
  <c r="H17" i="18"/>
  <c r="H21" i="18"/>
  <c r="H16" i="18"/>
  <c r="C10" i="18"/>
  <c r="E10" i="18" s="1"/>
  <c r="H15" i="18"/>
  <c r="E15" i="18"/>
  <c r="E23" i="18" s="1"/>
  <c r="G18" i="18"/>
  <c r="G7" i="18"/>
  <c r="G10" i="18" s="1"/>
  <c r="H20" i="25"/>
  <c r="C51" i="13"/>
  <c r="B23" i="1" s="1"/>
  <c r="F51" i="13"/>
  <c r="F54" i="13" s="1"/>
  <c r="H20" i="23"/>
  <c r="G19" i="23"/>
  <c r="D51" i="13"/>
  <c r="H49" i="13"/>
  <c r="E14" i="13"/>
  <c r="I14" i="13"/>
  <c r="H14" i="13"/>
  <c r="H15" i="23"/>
  <c r="I20" i="23"/>
  <c r="G18" i="23"/>
  <c r="H7" i="23"/>
  <c r="G17" i="23"/>
  <c r="G20" i="23"/>
  <c r="G7" i="23"/>
  <c r="H17" i="23"/>
  <c r="H16" i="23"/>
  <c r="G15" i="23"/>
  <c r="H24" i="25"/>
  <c r="H10" i="25"/>
  <c r="E18" i="10"/>
  <c r="F58" i="10"/>
  <c r="F13" i="27"/>
  <c r="I13" i="27" s="1"/>
  <c r="G46" i="10"/>
  <c r="G56" i="10" s="1"/>
  <c r="G18" i="27"/>
  <c r="G20" i="27"/>
  <c r="F15" i="27"/>
  <c r="I15" i="27" s="1"/>
  <c r="G18" i="10"/>
  <c r="H6" i="27"/>
  <c r="D58" i="10"/>
  <c r="G19" i="27"/>
  <c r="C9" i="27"/>
  <c r="E56" i="10"/>
  <c r="G6" i="27"/>
  <c r="G23" i="25"/>
  <c r="G19" i="25"/>
  <c r="E65" i="9"/>
  <c r="I24" i="25"/>
  <c r="G22" i="25"/>
  <c r="H16" i="27"/>
  <c r="H18" i="27"/>
  <c r="G16" i="27"/>
  <c r="C58" i="10"/>
  <c r="B29" i="1" s="1"/>
  <c r="H20" i="27"/>
  <c r="H14" i="27"/>
  <c r="E20" i="27"/>
  <c r="G17" i="27"/>
  <c r="H17" i="27"/>
  <c r="H19" i="27"/>
  <c r="G14" i="27"/>
  <c r="I6" i="27"/>
  <c r="E9" i="27"/>
  <c r="G18" i="25"/>
  <c r="H22" i="25"/>
  <c r="E22" i="25"/>
  <c r="E29" i="25" s="1"/>
  <c r="G26" i="25"/>
  <c r="H26" i="25"/>
  <c r="D67" i="9"/>
  <c r="H18" i="25"/>
  <c r="C29" i="25"/>
  <c r="E18" i="9"/>
  <c r="G24" i="25"/>
  <c r="H11" i="25"/>
  <c r="G18" i="9"/>
  <c r="E11" i="25"/>
  <c r="E13" i="25" s="1"/>
  <c r="C13" i="25"/>
  <c r="H9" i="25"/>
  <c r="G11" i="25"/>
  <c r="H8" i="25"/>
  <c r="G8" i="25"/>
  <c r="H18" i="24"/>
  <c r="F24" i="24"/>
  <c r="I24" i="24" s="1"/>
  <c r="G18" i="24"/>
  <c r="I21" i="24"/>
  <c r="H22" i="24"/>
  <c r="G21" i="24"/>
  <c r="C38" i="5"/>
  <c r="B25" i="1" s="1"/>
  <c r="G20" i="24"/>
  <c r="C24" i="24"/>
  <c r="G13" i="5"/>
  <c r="C12" i="24"/>
  <c r="E13" i="5"/>
  <c r="I22" i="23"/>
  <c r="H18" i="23"/>
  <c r="I18" i="23"/>
  <c r="G16" i="23"/>
  <c r="E49" i="13"/>
  <c r="E22" i="23"/>
  <c r="G49" i="13"/>
  <c r="G14" i="13"/>
  <c r="E10" i="23"/>
  <c r="I20" i="22"/>
  <c r="I23" i="22"/>
  <c r="H20" i="22"/>
  <c r="G22" i="22"/>
  <c r="G30" i="12"/>
  <c r="E30" i="12"/>
  <c r="G11" i="22"/>
  <c r="F71" i="3"/>
  <c r="G69" i="3"/>
  <c r="I69" i="3"/>
  <c r="G21" i="21"/>
  <c r="H19" i="21"/>
  <c r="E69" i="3"/>
  <c r="G19" i="21"/>
  <c r="G22" i="21"/>
  <c r="C24" i="21"/>
  <c r="H7" i="21"/>
  <c r="G7" i="21"/>
  <c r="G9" i="21"/>
  <c r="B19" i="1"/>
  <c r="G18" i="3"/>
  <c r="I15" i="20"/>
  <c r="E26" i="11"/>
  <c r="H26" i="11"/>
  <c r="G26" i="11"/>
  <c r="H16" i="20"/>
  <c r="G7" i="20"/>
  <c r="F10" i="20"/>
  <c r="I10" i="20" s="1"/>
  <c r="H7" i="20"/>
  <c r="I12" i="11"/>
  <c r="C10" i="20"/>
  <c r="H8" i="20"/>
  <c r="G8" i="20"/>
  <c r="G6" i="20"/>
  <c r="G12" i="11"/>
  <c r="E10" i="20"/>
  <c r="I19" i="19"/>
  <c r="H31" i="19"/>
  <c r="G31" i="19"/>
  <c r="H25" i="19"/>
  <c r="H20" i="19"/>
  <c r="G22" i="19"/>
  <c r="H26" i="19"/>
  <c r="G20" i="19"/>
  <c r="H7" i="19"/>
  <c r="E8" i="19"/>
  <c r="H8" i="19"/>
  <c r="G8" i="19"/>
  <c r="G10" i="19"/>
  <c r="E23" i="2"/>
  <c r="H11" i="19"/>
  <c r="G23" i="2"/>
  <c r="I21" i="18"/>
  <c r="H19" i="18"/>
  <c r="H74" i="4"/>
  <c r="E74" i="4"/>
  <c r="G74" i="4"/>
  <c r="C76" i="4"/>
  <c r="B13" i="1" s="1"/>
  <c r="D13" i="1" s="1"/>
  <c r="G17" i="18"/>
  <c r="G19" i="18"/>
  <c r="F76" i="4"/>
  <c r="E13" i="1" s="1"/>
  <c r="G20" i="4"/>
  <c r="H20" i="4"/>
  <c r="E20" i="4"/>
  <c r="H25" i="8"/>
  <c r="G17" i="17"/>
  <c r="G25" i="8"/>
  <c r="G27" i="8" s="1"/>
  <c r="F11" i="1" s="1"/>
  <c r="E25" i="8"/>
  <c r="I10" i="8"/>
  <c r="I7" i="17"/>
  <c r="F27" i="8"/>
  <c r="G7" i="16"/>
  <c r="E8" i="6"/>
  <c r="E14" i="6" s="1"/>
  <c r="G14" i="6"/>
  <c r="F9" i="1" s="1"/>
  <c r="G9" i="1" s="1"/>
  <c r="F3" i="15"/>
  <c r="D3" i="25"/>
  <c r="C3" i="16"/>
  <c r="H18" i="15"/>
  <c r="C14" i="22"/>
  <c r="E8" i="22"/>
  <c r="E14" i="22" s="1"/>
  <c r="G8" i="22"/>
  <c r="H8" i="22"/>
  <c r="I14" i="6"/>
  <c r="H14" i="6"/>
  <c r="E9" i="1"/>
  <c r="E28" i="11"/>
  <c r="E20" i="20"/>
  <c r="E24" i="21"/>
  <c r="E27" i="8"/>
  <c r="G9" i="19"/>
  <c r="F14" i="19"/>
  <c r="H19" i="19"/>
  <c r="I23" i="2"/>
  <c r="F10" i="18"/>
  <c r="H18" i="18"/>
  <c r="H11" i="22"/>
  <c r="G15" i="17"/>
  <c r="I9" i="19"/>
  <c r="C10" i="23"/>
  <c r="F14" i="22"/>
  <c r="D14" i="6"/>
  <c r="H15" i="20"/>
  <c r="G9" i="25"/>
  <c r="G26" i="19"/>
  <c r="I8" i="6"/>
  <c r="F10" i="23"/>
  <c r="H8" i="23"/>
  <c r="G105" i="12"/>
  <c r="I26" i="19"/>
  <c r="F67" i="9"/>
  <c r="D114" i="7"/>
  <c r="G8" i="23"/>
  <c r="C20" i="20"/>
  <c r="G27" i="25"/>
  <c r="H12" i="6"/>
  <c r="C27" i="8"/>
  <c r="B11" i="1" s="1"/>
  <c r="F111" i="2"/>
  <c r="E15" i="1" s="1"/>
  <c r="H20" i="24"/>
  <c r="G65" i="9"/>
  <c r="G12" i="19"/>
  <c r="C19" i="17"/>
  <c r="C67" i="9"/>
  <c r="B27" i="1" s="1"/>
  <c r="H19" i="22"/>
  <c r="G9" i="24"/>
  <c r="H27" i="25"/>
  <c r="C22" i="27"/>
  <c r="H17" i="17"/>
  <c r="F23" i="18"/>
  <c r="H21" i="25"/>
  <c r="C107" i="12"/>
  <c r="B21" i="1" s="1"/>
  <c r="H30" i="12"/>
  <c r="G21" i="25"/>
  <c r="F29" i="25"/>
  <c r="I49" i="13"/>
  <c r="F24" i="21"/>
  <c r="F28" i="11"/>
  <c r="F38" i="5"/>
  <c r="C31" i="22"/>
  <c r="F13" i="25"/>
  <c r="I19" i="7"/>
  <c r="I17" i="17"/>
  <c r="E12" i="19"/>
  <c r="I16" i="20"/>
  <c r="E24" i="22"/>
  <c r="E31" i="22" s="1"/>
  <c r="E9" i="24"/>
  <c r="E12" i="24" s="1"/>
  <c r="E18" i="27"/>
  <c r="H6" i="20"/>
  <c r="I7" i="16"/>
  <c r="H16" i="17"/>
  <c r="F20" i="20"/>
  <c r="G20" i="21"/>
  <c r="I105" i="12"/>
  <c r="H7" i="16"/>
  <c r="C14" i="19"/>
  <c r="G16" i="20"/>
  <c r="G20" i="20" s="1"/>
  <c r="H7" i="24"/>
  <c r="H20" i="21"/>
  <c r="G24" i="22"/>
  <c r="H7" i="18"/>
  <c r="G15" i="15"/>
  <c r="H10" i="19"/>
  <c r="I7" i="24"/>
  <c r="G20" i="25"/>
  <c r="G16" i="18"/>
  <c r="H18" i="3"/>
  <c r="G7" i="27"/>
  <c r="H7" i="27"/>
  <c r="F9" i="27"/>
  <c r="H22" i="22"/>
  <c r="F31" i="22"/>
  <c r="F33" i="19"/>
  <c r="I33" i="19" s="1"/>
  <c r="H27" i="19"/>
  <c r="I109" i="2"/>
  <c r="E109" i="2"/>
  <c r="E111" i="2" s="1"/>
  <c r="G109" i="2"/>
  <c r="D116" i="7"/>
  <c r="H110" i="7"/>
  <c r="H85" i="7"/>
  <c r="E85" i="7"/>
  <c r="E116" i="7" s="1"/>
  <c r="F112" i="7"/>
  <c r="H17" i="15"/>
  <c r="G25" i="7"/>
  <c r="I65" i="7"/>
  <c r="G65" i="7"/>
  <c r="E25" i="7"/>
  <c r="I15" i="7"/>
  <c r="C23" i="15"/>
  <c r="E23" i="15" s="1"/>
  <c r="G7" i="15"/>
  <c r="I85" i="7"/>
  <c r="I25" i="7"/>
  <c r="G20" i="15"/>
  <c r="F114" i="7"/>
  <c r="H65" i="7"/>
  <c r="E65" i="7"/>
  <c r="G15" i="7"/>
  <c r="G110" i="7"/>
  <c r="A2" i="13"/>
  <c r="A2" i="23" s="1"/>
  <c r="G85" i="7"/>
  <c r="G116" i="7" s="1"/>
  <c r="E15" i="7"/>
  <c r="H15" i="7"/>
  <c r="H20" i="15"/>
  <c r="E16" i="15"/>
  <c r="H21" i="15"/>
  <c r="I15" i="15"/>
  <c r="H15" i="15"/>
  <c r="D112" i="7"/>
  <c r="F116" i="7"/>
  <c r="H116" i="7" s="1"/>
  <c r="E110" i="7"/>
  <c r="G17" i="15"/>
  <c r="D118" i="7"/>
  <c r="G8" i="15"/>
  <c r="C10" i="15"/>
  <c r="E10" i="15" s="1"/>
  <c r="H7" i="15"/>
  <c r="G16" i="15"/>
  <c r="G18" i="15"/>
  <c r="H16" i="15"/>
  <c r="A2" i="3"/>
  <c r="A2" i="21" s="1"/>
  <c r="G21" i="15"/>
  <c r="H19" i="7"/>
  <c r="I16" i="15"/>
  <c r="F10" i="15"/>
  <c r="I10" i="15" s="1"/>
  <c r="A2" i="4"/>
  <c r="A2" i="18" s="1"/>
  <c r="F27" i="7"/>
  <c r="D27" i="7"/>
  <c r="I110" i="7"/>
  <c r="A2" i="15"/>
  <c r="A2" i="6"/>
  <c r="A2" i="16" s="1"/>
  <c r="A2" i="10"/>
  <c r="A2" i="27" s="1"/>
  <c r="A2" i="9"/>
  <c r="A2" i="25" s="1"/>
  <c r="A2" i="11"/>
  <c r="A2" i="20" s="1"/>
  <c r="A2" i="2"/>
  <c r="A2" i="19" s="1"/>
  <c r="A2" i="5"/>
  <c r="A2" i="24" s="1"/>
  <c r="F23" i="15"/>
  <c r="I23" i="15" s="1"/>
  <c r="H19" i="15"/>
  <c r="G27" i="19"/>
  <c r="H109" i="2"/>
  <c r="C33" i="19"/>
  <c r="E27" i="19"/>
  <c r="E33" i="19" s="1"/>
  <c r="E19" i="15"/>
  <c r="I71" i="3" l="1"/>
  <c r="D19" i="1"/>
  <c r="F22" i="17"/>
  <c r="I22" i="17" s="1"/>
  <c r="G19" i="17"/>
  <c r="G22" i="17" s="1"/>
  <c r="H9" i="16"/>
  <c r="H10" i="15"/>
  <c r="G10" i="15"/>
  <c r="G111" i="2"/>
  <c r="F15" i="1" s="1"/>
  <c r="G15" i="1" s="1"/>
  <c r="D25" i="1"/>
  <c r="D23" i="1"/>
  <c r="D21" i="1"/>
  <c r="C7" i="1"/>
  <c r="C31" i="1" s="1"/>
  <c r="E27" i="1"/>
  <c r="I67" i="9"/>
  <c r="H67" i="9"/>
  <c r="G10" i="20"/>
  <c r="G23" i="20" s="1"/>
  <c r="C23" i="20"/>
  <c r="H10" i="20"/>
  <c r="I38" i="5"/>
  <c r="H38" i="5"/>
  <c r="D11" i="1"/>
  <c r="H19" i="17"/>
  <c r="I15" i="16"/>
  <c r="G15" i="16"/>
  <c r="F18" i="16"/>
  <c r="H15" i="16"/>
  <c r="E9" i="16"/>
  <c r="E18" i="16" s="1"/>
  <c r="C18" i="16"/>
  <c r="H18" i="16" s="1"/>
  <c r="D27" i="1"/>
  <c r="D29" i="1"/>
  <c r="C25" i="27"/>
  <c r="G13" i="27"/>
  <c r="E14" i="19"/>
  <c r="E36" i="19" s="1"/>
  <c r="G14" i="19"/>
  <c r="E22" i="27"/>
  <c r="E25" i="27" s="1"/>
  <c r="H58" i="10"/>
  <c r="I58" i="10"/>
  <c r="E107" i="12"/>
  <c r="G107" i="12"/>
  <c r="F21" i="1" s="1"/>
  <c r="G21" i="1" s="1"/>
  <c r="F34" i="22"/>
  <c r="I34" i="22" s="1"/>
  <c r="G14" i="22"/>
  <c r="I107" i="12"/>
  <c r="G31" i="22"/>
  <c r="E27" i="21"/>
  <c r="C27" i="21"/>
  <c r="G71" i="3"/>
  <c r="F19" i="1" s="1"/>
  <c r="G19" i="1" s="1"/>
  <c r="E71" i="3"/>
  <c r="H11" i="21"/>
  <c r="E38" i="5"/>
  <c r="G12" i="24"/>
  <c r="G38" i="5"/>
  <c r="F25" i="1" s="1"/>
  <c r="G25" i="1" s="1"/>
  <c r="C27" i="24"/>
  <c r="E27" i="24"/>
  <c r="F27" i="24"/>
  <c r="I27" i="24" s="1"/>
  <c r="H12" i="24"/>
  <c r="C120" i="7"/>
  <c r="B7" i="1" s="1"/>
  <c r="E27" i="7"/>
  <c r="E112" i="7"/>
  <c r="G27" i="7"/>
  <c r="G114" i="7"/>
  <c r="I114" i="7"/>
  <c r="F26" i="15"/>
  <c r="E26" i="18"/>
  <c r="E76" i="4"/>
  <c r="C26" i="18"/>
  <c r="G76" i="4"/>
  <c r="F13" i="1" s="1"/>
  <c r="H76" i="4"/>
  <c r="G67" i="9"/>
  <c r="H51" i="13"/>
  <c r="E25" i="23"/>
  <c r="E23" i="1"/>
  <c r="I51" i="13"/>
  <c r="E51" i="13"/>
  <c r="H22" i="23"/>
  <c r="C25" i="23"/>
  <c r="G22" i="23"/>
  <c r="G10" i="23"/>
  <c r="G51" i="13"/>
  <c r="F23" i="1" s="1"/>
  <c r="G23" i="1" s="1"/>
  <c r="E67" i="9"/>
  <c r="E32" i="25"/>
  <c r="H13" i="27"/>
  <c r="F22" i="27"/>
  <c r="I22" i="27" s="1"/>
  <c r="G15" i="27"/>
  <c r="H15" i="27"/>
  <c r="G9" i="27"/>
  <c r="E58" i="10"/>
  <c r="H29" i="25"/>
  <c r="G58" i="10"/>
  <c r="F29" i="1" s="1"/>
  <c r="G29" i="1" s="1"/>
  <c r="C32" i="25"/>
  <c r="G29" i="25"/>
  <c r="G13" i="25"/>
  <c r="H24" i="24"/>
  <c r="G24" i="24"/>
  <c r="H107" i="12"/>
  <c r="H71" i="3"/>
  <c r="G24" i="21"/>
  <c r="E19" i="1"/>
  <c r="G11" i="21"/>
  <c r="G28" i="11"/>
  <c r="F17" i="1" s="1"/>
  <c r="G17" i="1" s="1"/>
  <c r="E23" i="20"/>
  <c r="G33" i="19"/>
  <c r="H111" i="2"/>
  <c r="I111" i="2"/>
  <c r="G23" i="18"/>
  <c r="G26" i="18" s="1"/>
  <c r="I76" i="4"/>
  <c r="I27" i="8"/>
  <c r="G11" i="1"/>
  <c r="H112" i="7"/>
  <c r="I112" i="7"/>
  <c r="H20" i="20"/>
  <c r="I20" i="20"/>
  <c r="F23" i="20"/>
  <c r="H13" i="25"/>
  <c r="I13" i="25"/>
  <c r="E25" i="1"/>
  <c r="H28" i="11"/>
  <c r="E17" i="1"/>
  <c r="I28" i="11"/>
  <c r="I24" i="21"/>
  <c r="H24" i="21"/>
  <c r="F27" i="21"/>
  <c r="H114" i="7"/>
  <c r="E19" i="17"/>
  <c r="C22" i="17"/>
  <c r="E22" i="17" s="1"/>
  <c r="G23" i="15"/>
  <c r="F25" i="23"/>
  <c r="I10" i="23"/>
  <c r="H10" i="23"/>
  <c r="E34" i="22"/>
  <c r="I23" i="18"/>
  <c r="H23" i="18"/>
  <c r="F32" i="25"/>
  <c r="I29" i="25"/>
  <c r="I10" i="18"/>
  <c r="F26" i="18"/>
  <c r="H10" i="18"/>
  <c r="C34" i="22"/>
  <c r="I14" i="22"/>
  <c r="H14" i="22"/>
  <c r="I14" i="19"/>
  <c r="H14" i="19"/>
  <c r="C26" i="15"/>
  <c r="E26" i="15" s="1"/>
  <c r="E118" i="7"/>
  <c r="H27" i="8"/>
  <c r="I9" i="27"/>
  <c r="H9" i="27"/>
  <c r="H23" i="15"/>
  <c r="G112" i="7"/>
  <c r="I31" i="22"/>
  <c r="H31" i="22"/>
  <c r="F36" i="19"/>
  <c r="I36" i="19" s="1"/>
  <c r="G118" i="7"/>
  <c r="E114" i="7"/>
  <c r="I116" i="7"/>
  <c r="D120" i="7"/>
  <c r="I27" i="7"/>
  <c r="H27" i="7"/>
  <c r="F120" i="7"/>
  <c r="I118" i="7"/>
  <c r="H118" i="7"/>
  <c r="H33" i="19"/>
  <c r="C36" i="19"/>
  <c r="G22" i="27" l="1"/>
  <c r="G25" i="27" s="1"/>
  <c r="F27" i="1"/>
  <c r="G27" i="1" s="1"/>
  <c r="G13" i="1"/>
  <c r="G36" i="19"/>
  <c r="I26" i="15"/>
  <c r="G26" i="15"/>
  <c r="G18" i="16"/>
  <c r="I18" i="16"/>
  <c r="G34" i="22"/>
  <c r="F25" i="27"/>
  <c r="H25" i="27" s="1"/>
  <c r="H22" i="27"/>
  <c r="H34" i="22"/>
  <c r="G27" i="21"/>
  <c r="H22" i="17"/>
  <c r="G27" i="24"/>
  <c r="H27" i="24"/>
  <c r="G120" i="7"/>
  <c r="F7" i="1" s="1"/>
  <c r="F31" i="1" s="1"/>
  <c r="E120" i="7"/>
  <c r="G25" i="23"/>
  <c r="G32" i="25"/>
  <c r="H36" i="19"/>
  <c r="H120" i="7"/>
  <c r="I27" i="21"/>
  <c r="H27" i="21"/>
  <c r="I32" i="25"/>
  <c r="H32" i="25"/>
  <c r="H26" i="18"/>
  <c r="I26" i="18"/>
  <c r="H26" i="15"/>
  <c r="H25" i="23"/>
  <c r="I25" i="23"/>
  <c r="I23" i="20"/>
  <c r="H23" i="20"/>
  <c r="I120" i="7"/>
  <c r="E7" i="1"/>
  <c r="E31" i="1" s="1"/>
  <c r="E34" i="1" s="1"/>
  <c r="F34" i="1" s="1"/>
  <c r="G34" i="1" s="1"/>
  <c r="B31" i="1"/>
  <c r="D7" i="1"/>
  <c r="D31" i="1" s="1"/>
  <c r="G31" i="1" l="1"/>
  <c r="G7" i="1"/>
  <c r="I25" i="27"/>
</calcChain>
</file>

<file path=xl/sharedStrings.xml><?xml version="1.0" encoding="utf-8"?>
<sst xmlns="http://schemas.openxmlformats.org/spreadsheetml/2006/main" count="1432" uniqueCount="934">
  <si>
    <t>Township of North Kawartha</t>
  </si>
  <si>
    <t>Summary Costs Comparisons</t>
  </si>
  <si>
    <t>Previous Year:</t>
  </si>
  <si>
    <t>Budget Year:</t>
  </si>
  <si>
    <t>Departments</t>
  </si>
  <si>
    <t>Variance Budget to Actual</t>
  </si>
  <si>
    <t>Variance         Budget to Budget</t>
  </si>
  <si>
    <t>% Variance Budget to Budget</t>
  </si>
  <si>
    <t>Bldg By-Law</t>
  </si>
  <si>
    <t>Conservation Authority</t>
  </si>
  <si>
    <t>Emergency Planning</t>
  </si>
  <si>
    <t>Fire</t>
  </si>
  <si>
    <t>General Government</t>
  </si>
  <si>
    <t>Health</t>
  </si>
  <si>
    <t>Library</t>
  </si>
  <si>
    <t>Parks &amp; Recreation</t>
  </si>
  <si>
    <t>Planning</t>
  </si>
  <si>
    <t>Police Services</t>
  </si>
  <si>
    <t>Roads</t>
  </si>
  <si>
    <t>Waste</t>
  </si>
  <si>
    <t>Totals</t>
  </si>
  <si>
    <t>Building By/Law</t>
  </si>
  <si>
    <t>Revenue</t>
  </si>
  <si>
    <t>10-04-0440-8100</t>
  </si>
  <si>
    <t>Bldg (Const) Permits</t>
  </si>
  <si>
    <t>10-04-0440-8130</t>
  </si>
  <si>
    <t>Information Request Fees</t>
  </si>
  <si>
    <t>10-04-0440-8150</t>
  </si>
  <si>
    <t>Infractions</t>
  </si>
  <si>
    <t>10-04-0440-8162</t>
  </si>
  <si>
    <t>Shoreline Fees</t>
  </si>
  <si>
    <t>10-04-0440-8300</t>
  </si>
  <si>
    <t>Dog Licenses</t>
  </si>
  <si>
    <t>10-04-0440-8320</t>
  </si>
  <si>
    <t>Sales</t>
  </si>
  <si>
    <t>10-04-0440-8800</t>
  </si>
  <si>
    <t>Miscellaneous</t>
  </si>
  <si>
    <t>10-04-0440-8970</t>
  </si>
  <si>
    <t>Transfer from Reserves</t>
  </si>
  <si>
    <t>Sub-Total Building By-Law</t>
  </si>
  <si>
    <t>10-04-0441-8160</t>
  </si>
  <si>
    <t>Application Fees - Septic</t>
  </si>
  <si>
    <t>Sub-Total Sewage Disposal Program</t>
  </si>
  <si>
    <t>10-04-0442-8010</t>
  </si>
  <si>
    <t>Grants - Federal</t>
  </si>
  <si>
    <t>10-04-0442-8020</t>
  </si>
  <si>
    <t>Grants - Provincial</t>
  </si>
  <si>
    <t>10-04-0442-8970</t>
  </si>
  <si>
    <t>Sub-Total Sewage Maintenance Program</t>
  </si>
  <si>
    <t>Total Revenue</t>
  </si>
  <si>
    <t>Expenses</t>
  </si>
  <si>
    <t>Building-By-Law</t>
  </si>
  <si>
    <t>10-04-0440-1000</t>
  </si>
  <si>
    <t>Salaries/Full Time Wages</t>
  </si>
  <si>
    <t>10-04-0440-1100</t>
  </si>
  <si>
    <t>Part-Time Wages</t>
  </si>
  <si>
    <t>10-04-0440-2000</t>
  </si>
  <si>
    <t>Benefits-CPP/EI</t>
  </si>
  <si>
    <t>10-04-0440-2100</t>
  </si>
  <si>
    <t>Benefits - EHT</t>
  </si>
  <si>
    <t>10-04-0440-2200</t>
  </si>
  <si>
    <t>Benefits - WSIB</t>
  </si>
  <si>
    <t>10-04-0440-2300</t>
  </si>
  <si>
    <t>Benefits - OMERS</t>
  </si>
  <si>
    <t>10-04-0440-2400</t>
  </si>
  <si>
    <t>Benefits - Manulife</t>
  </si>
  <si>
    <t>10-04-0440-2403</t>
  </si>
  <si>
    <t>Staff Recognition Awards</t>
  </si>
  <si>
    <t>10-04-0440-2490</t>
  </si>
  <si>
    <t>Clothing</t>
  </si>
  <si>
    <t>10-04-0440-2500</t>
  </si>
  <si>
    <t>Travel Mileage</t>
  </si>
  <si>
    <t>10-04-0440-2600</t>
  </si>
  <si>
    <t>Training Mileage</t>
  </si>
  <si>
    <t>10-04-0440-2601</t>
  </si>
  <si>
    <t>Training Accomodations</t>
  </si>
  <si>
    <t>10-04-0440-2602</t>
  </si>
  <si>
    <t>Training Meals</t>
  </si>
  <si>
    <t>10-04-0440-2610</t>
  </si>
  <si>
    <t>Training Fees</t>
  </si>
  <si>
    <t>10-04-0440-2700</t>
  </si>
  <si>
    <t>Memberships</t>
  </si>
  <si>
    <t>10-04-0440-3301</t>
  </si>
  <si>
    <t>Cell Phones</t>
  </si>
  <si>
    <t>10-04-0440-3330</t>
  </si>
  <si>
    <t>Communications</t>
  </si>
  <si>
    <t>10-04-0440-3400</t>
  </si>
  <si>
    <t>Insurance</t>
  </si>
  <si>
    <t>10-04-0440-3810</t>
  </si>
  <si>
    <t>Legal Fees</t>
  </si>
  <si>
    <t>10-04-0440-3900</t>
  </si>
  <si>
    <t>Other Contracts</t>
  </si>
  <si>
    <t>10-04-0440-3903</t>
  </si>
  <si>
    <t>Animal Control</t>
  </si>
  <si>
    <t>10-04-0440-4110</t>
  </si>
  <si>
    <t>Office Supplies</t>
  </si>
  <si>
    <t>10-04-0440-4300</t>
  </si>
  <si>
    <t>Advertising</t>
  </si>
  <si>
    <t>10-04-0440-4310</t>
  </si>
  <si>
    <t>Promotional Supplies</t>
  </si>
  <si>
    <t>10-04-0440-4410</t>
  </si>
  <si>
    <t>Publications/Subscriptions</t>
  </si>
  <si>
    <t>10-04-0440-5130</t>
  </si>
  <si>
    <t>Maintenance - Building</t>
  </si>
  <si>
    <t>10-04-0440-5164</t>
  </si>
  <si>
    <t>Rent/Maint Office Equipment</t>
  </si>
  <si>
    <t>10-04-0440-5190</t>
  </si>
  <si>
    <t>Vehicle Maint/Repairs</t>
  </si>
  <si>
    <t>10-04-0440-5191</t>
  </si>
  <si>
    <t>Vehicle Gas &amp; Oil</t>
  </si>
  <si>
    <t>10-04-0440-5530</t>
  </si>
  <si>
    <t>Capital Building</t>
  </si>
  <si>
    <t>10-04-0440-5590</t>
  </si>
  <si>
    <t>Capital Vehicles</t>
  </si>
  <si>
    <t>10-04-0440-5970</t>
  </si>
  <si>
    <t>Transfer to Reserves</t>
  </si>
  <si>
    <t>10-04-0440-7000</t>
  </si>
  <si>
    <t>Bank Charges</t>
  </si>
  <si>
    <t>Sub-Total Building-By-Law</t>
  </si>
  <si>
    <t>Sewage Disposal Systems Program</t>
  </si>
  <si>
    <t>10-04-0441-1000</t>
  </si>
  <si>
    <t>10-04-0441-2000</t>
  </si>
  <si>
    <t>Benefits - CPP/EI</t>
  </si>
  <si>
    <t>10-04-0441-2100</t>
  </si>
  <si>
    <t>10-04-0441-2200</t>
  </si>
  <si>
    <t>10-04-0441-2300</t>
  </si>
  <si>
    <t>10-04-0441-2400</t>
  </si>
  <si>
    <t>10-04-0441-2610</t>
  </si>
  <si>
    <t>10-04-0441-3301</t>
  </si>
  <si>
    <t>10-04-0441-3400</t>
  </si>
  <si>
    <t>10-04-0441-3830</t>
  </si>
  <si>
    <t>IT Services</t>
  </si>
  <si>
    <t>10-04-0441-4110</t>
  </si>
  <si>
    <t>10-04-0441-5130</t>
  </si>
  <si>
    <t>10-04-0441-5160</t>
  </si>
  <si>
    <t>Maintenance - Equipment</t>
  </si>
  <si>
    <t>10-04-0441-5190</t>
  </si>
  <si>
    <t>10-04-0441-5191</t>
  </si>
  <si>
    <t>10-04-0441-7000</t>
  </si>
  <si>
    <t>Sub-Total Sewage Disposal System</t>
  </si>
  <si>
    <t>Sewage Maintenance Program</t>
  </si>
  <si>
    <t>10-04-0442-1000</t>
  </si>
  <si>
    <t>10-04-0442-1100</t>
  </si>
  <si>
    <t>10-04-0442-2000</t>
  </si>
  <si>
    <t>10-04-0442-2100</t>
  </si>
  <si>
    <t>10-04-0442-2200</t>
  </si>
  <si>
    <t>10-04-0442-2300</t>
  </si>
  <si>
    <t>10-04-0442-2400</t>
  </si>
  <si>
    <t>10-04-0442-2490</t>
  </si>
  <si>
    <t>10-04-0442-3301</t>
  </si>
  <si>
    <t>10-04-0442-3330</t>
  </si>
  <si>
    <t>10-04-0442-3400</t>
  </si>
  <si>
    <t>10-04-0442-3830</t>
  </si>
  <si>
    <t>10-04-0442-3900</t>
  </si>
  <si>
    <t>10-04-0442-4110</t>
  </si>
  <si>
    <t>10-04-0442-4300</t>
  </si>
  <si>
    <t>10-04-0442-5130</t>
  </si>
  <si>
    <t>10-04-0442-5160</t>
  </si>
  <si>
    <t>10-04-0442-5190</t>
  </si>
  <si>
    <t>10-04-0442-5191</t>
  </si>
  <si>
    <t>10-04-0442-5590</t>
  </si>
  <si>
    <t>10-04-0442-7000</t>
  </si>
  <si>
    <t>Total Expenses</t>
  </si>
  <si>
    <t>Net Building By-Law</t>
  </si>
  <si>
    <t>Net Sewage Disposal System</t>
  </si>
  <si>
    <t>Net Sewage Maintenance Program</t>
  </si>
  <si>
    <t>Net Budget</t>
  </si>
  <si>
    <t>10-04-0430-5970</t>
  </si>
  <si>
    <t>10-04-0430-7900</t>
  </si>
  <si>
    <t>Conservation Auth Requisition</t>
  </si>
  <si>
    <t>10-04-0450-8020</t>
  </si>
  <si>
    <t>Provincial Grants</t>
  </si>
  <si>
    <t>10-04-0450-8970</t>
  </si>
  <si>
    <t>10-04-0450-2500</t>
  </si>
  <si>
    <t>10-04-0450-2600</t>
  </si>
  <si>
    <t>10-04-0450-2601</t>
  </si>
  <si>
    <t>10-04-0450-2602</t>
  </si>
  <si>
    <t>10-04-0450-2610</t>
  </si>
  <si>
    <t>10-04-0450-2700</t>
  </si>
  <si>
    <t>Membership Fees</t>
  </si>
  <si>
    <t>10-04-0450-3300</t>
  </si>
  <si>
    <t>Phone/Fax</t>
  </si>
  <si>
    <t>10-04-0450-4430</t>
  </si>
  <si>
    <t>Education Materials</t>
  </si>
  <si>
    <t>10-04-0450-4600</t>
  </si>
  <si>
    <t>Materials</t>
  </si>
  <si>
    <t>10-04-0450-5970</t>
  </si>
  <si>
    <t>Total Budget</t>
  </si>
  <si>
    <t>10-04-0410-8020</t>
  </si>
  <si>
    <t>Provincial Grant</t>
  </si>
  <si>
    <t>10-04-0410-8150</t>
  </si>
  <si>
    <t>10-04-0410-8160</t>
  </si>
  <si>
    <t>Application Fees</t>
  </si>
  <si>
    <t>10-04-0410-8200</t>
  </si>
  <si>
    <t>Rental Units</t>
  </si>
  <si>
    <t>10-04-0410-8225</t>
  </si>
  <si>
    <t>Other Municipalities Revenue</t>
  </si>
  <si>
    <t>10-04-0410-8320</t>
  </si>
  <si>
    <t>Sale of Surplus Equipment</t>
  </si>
  <si>
    <t>10-04-0410-8371</t>
  </si>
  <si>
    <t>Course Registration</t>
  </si>
  <si>
    <t>10-04-0410-8400</t>
  </si>
  <si>
    <t>Insurance Claims (MTO Highway)</t>
  </si>
  <si>
    <t>10-04-0410-8800</t>
  </si>
  <si>
    <t>10-04-0410-8810</t>
  </si>
  <si>
    <t>Donations</t>
  </si>
  <si>
    <t>10-04-0410-8970</t>
  </si>
  <si>
    <t>10-04-0410-8971</t>
  </si>
  <si>
    <t>Transfer from Reserve Funds</t>
  </si>
  <si>
    <t>10-04-0410-1000</t>
  </si>
  <si>
    <t>Full Time Wages</t>
  </si>
  <si>
    <t>10-04-0410-1100</t>
  </si>
  <si>
    <t>Wages, Part Time</t>
  </si>
  <si>
    <t>10-04-0410-1510</t>
  </si>
  <si>
    <t>Volunteer Wages</t>
  </si>
  <si>
    <t>10-04-0410-2000</t>
  </si>
  <si>
    <t>10-04-0410-2100</t>
  </si>
  <si>
    <t>10-04-0410-2200</t>
  </si>
  <si>
    <t>10-04-0410-2300</t>
  </si>
  <si>
    <t>10-04-0410-2400</t>
  </si>
  <si>
    <t>Manulife</t>
  </si>
  <si>
    <t>10-04-0410-2403</t>
  </si>
  <si>
    <t>10-04-0410-2490</t>
  </si>
  <si>
    <t>Uniforms/PPE</t>
  </si>
  <si>
    <t>10-04-0410-2500</t>
  </si>
  <si>
    <t>10-04-0410-2600</t>
  </si>
  <si>
    <t>10-04-0410-2601</t>
  </si>
  <si>
    <t>Training Accommodations</t>
  </si>
  <si>
    <t>10-04-0410-2603</t>
  </si>
  <si>
    <t>Training Other</t>
  </si>
  <si>
    <t>10-04-0410-2700</t>
  </si>
  <si>
    <t>10-04-0410-3301</t>
  </si>
  <si>
    <t>Telephone (Cellular)</t>
  </si>
  <si>
    <t>10-04-0410-3320</t>
  </si>
  <si>
    <t>Communications - Paging Radios</t>
  </si>
  <si>
    <t>10-04-0410-3321</t>
  </si>
  <si>
    <t>Communications - Dispatch</t>
  </si>
  <si>
    <t>10-04-0410-3400</t>
  </si>
  <si>
    <t>10-04-0410-3820</t>
  </si>
  <si>
    <t>Consulting Fees</t>
  </si>
  <si>
    <t>10-04-0410-4110</t>
  </si>
  <si>
    <t>10-04-0410-4111</t>
  </si>
  <si>
    <t>Cleaning Supplies</t>
  </si>
  <si>
    <t>10-04-0410-4310</t>
  </si>
  <si>
    <t>10-04-0410-4410</t>
  </si>
  <si>
    <t>Subscriptions</t>
  </si>
  <si>
    <t>10-04-0410-4430</t>
  </si>
  <si>
    <t>Fire Prevention/Public Education</t>
  </si>
  <si>
    <t>10-04-0410-4431</t>
  </si>
  <si>
    <t>Training Aids</t>
  </si>
  <si>
    <t>10-04-0410-5130</t>
  </si>
  <si>
    <t>Maint. Building</t>
  </si>
  <si>
    <t>10-04-0410-5131</t>
  </si>
  <si>
    <t>Cleaning Contracts</t>
  </si>
  <si>
    <t>10-04-0410-5150</t>
  </si>
  <si>
    <t>PPE Maint Testing</t>
  </si>
  <si>
    <t>10-04-0410-5160</t>
  </si>
  <si>
    <t>Equipment Maintenance</t>
  </si>
  <si>
    <t>10-04-0410-5162</t>
  </si>
  <si>
    <t>Maint. Medical Equipment</t>
  </si>
  <si>
    <t>10-04-0410-5164</t>
  </si>
  <si>
    <t>Office Equipment Maint</t>
  </si>
  <si>
    <t>10-04-0410-5190</t>
  </si>
  <si>
    <t>Maintenance- Vehicles</t>
  </si>
  <si>
    <t>10-04-0410-5191</t>
  </si>
  <si>
    <t>Fuel - Vehicles &amp; Equipment</t>
  </si>
  <si>
    <t>10-04-0410-5330</t>
  </si>
  <si>
    <t>UT Building</t>
  </si>
  <si>
    <t>10-04-0410-5390</t>
  </si>
  <si>
    <t>UT Vehicles</t>
  </si>
  <si>
    <t>10-04-0410-7000</t>
  </si>
  <si>
    <t>10-04-0410-7400</t>
  </si>
  <si>
    <t>Incident Expenses</t>
  </si>
  <si>
    <t>10-04-0411-3100</t>
  </si>
  <si>
    <t>Station 1 Heat</t>
  </si>
  <si>
    <t>10-04-0411-3101</t>
  </si>
  <si>
    <t>Station 1 - Hydro</t>
  </si>
  <si>
    <t>10-04-0411-3300</t>
  </si>
  <si>
    <t>Station 1 Telephone/Internet</t>
  </si>
  <si>
    <t>10-04-0412-3100</t>
  </si>
  <si>
    <t>Station 2 Heat</t>
  </si>
  <si>
    <t>10-04-0412-3101</t>
  </si>
  <si>
    <t>Station 2 Hydro</t>
  </si>
  <si>
    <t>10-04-0412-3300</t>
  </si>
  <si>
    <t>Station 2 Telephone/Internet</t>
  </si>
  <si>
    <t>10-04-0413-3100</t>
  </si>
  <si>
    <t>Station 3 Heat</t>
  </si>
  <si>
    <t>10-04-0413-3101</t>
  </si>
  <si>
    <t>Station 3 Hydro</t>
  </si>
  <si>
    <t>10-04-0410-5970</t>
  </si>
  <si>
    <t>10-04-0410-5530</t>
  </si>
  <si>
    <t>Capital - Building</t>
  </si>
  <si>
    <t>10-04-0410-5560</t>
  </si>
  <si>
    <t>Capital-Equipment</t>
  </si>
  <si>
    <t>10-01-0101-9712</t>
  </si>
  <si>
    <t>Residential - Supp/WO's</t>
  </si>
  <si>
    <t>10-01-0100-9775</t>
  </si>
  <si>
    <t>PIL's Federal</t>
  </si>
  <si>
    <t>10-01-0100-9779</t>
  </si>
  <si>
    <t>PIL Municipal Tax Act</t>
  </si>
  <si>
    <t>Grants</t>
  </si>
  <si>
    <t>10-02-0250-8161</t>
  </si>
  <si>
    <t>Tax Certificates</t>
  </si>
  <si>
    <t>10-02-0250-8162</t>
  </si>
  <si>
    <t>Road Allowance Fees</t>
  </si>
  <si>
    <t>10-02-0250-8200</t>
  </si>
  <si>
    <t>Admin Bldg - Rent</t>
  </si>
  <si>
    <t>10-02-0250-8350</t>
  </si>
  <si>
    <t>Copies/Plans/Maps/Misc</t>
  </si>
  <si>
    <t>10-02-0250-8500</t>
  </si>
  <si>
    <t>Lottery Licenses</t>
  </si>
  <si>
    <t>10-01-0100-8600</t>
  </si>
  <si>
    <t>Penalty/Int Taxes</t>
  </si>
  <si>
    <t>10-02-0250-8610</t>
  </si>
  <si>
    <t>Penalty/Int Other</t>
  </si>
  <si>
    <t>10-02-0250-8700</t>
  </si>
  <si>
    <t>Bank Interest Earned</t>
  </si>
  <si>
    <t>10-02-0250-8800</t>
  </si>
  <si>
    <t>Miscellaneous Revenue</t>
  </si>
  <si>
    <t>10-02-0250-8970</t>
  </si>
  <si>
    <t>Transfer from Reserve</t>
  </si>
  <si>
    <t>10-02-0250-8971</t>
  </si>
  <si>
    <t>TOTAL REVENUE</t>
  </si>
  <si>
    <t>EXPENSES</t>
  </si>
  <si>
    <t>10-02-0240-1501</t>
  </si>
  <si>
    <t>Council Remuneration</t>
  </si>
  <si>
    <t>10-02-0240-1502</t>
  </si>
  <si>
    <t>Committee Remuneration</t>
  </si>
  <si>
    <t>10-02-0240-2000</t>
  </si>
  <si>
    <t>10-02-0240-2100</t>
  </si>
  <si>
    <t>10-02-0240-2200</t>
  </si>
  <si>
    <t>10-02-0240-2300</t>
  </si>
  <si>
    <t>10-02-0240-2400</t>
  </si>
  <si>
    <t>10-02-0240-2550</t>
  </si>
  <si>
    <t>Council Expenses</t>
  </si>
  <si>
    <t>10-02-0240-3301</t>
  </si>
  <si>
    <t>10-02-0240-3400</t>
  </si>
  <si>
    <t>10-02-0240-4300</t>
  </si>
  <si>
    <t>10-02-0240-4310</t>
  </si>
  <si>
    <t>10-02-0240-4410</t>
  </si>
  <si>
    <t>10-02-0240-4711</t>
  </si>
  <si>
    <t>Election</t>
  </si>
  <si>
    <t>10-02-0240-5170</t>
  </si>
  <si>
    <t>Maint Computer Hardware</t>
  </si>
  <si>
    <t>10-02-0240-5180</t>
  </si>
  <si>
    <t>Maint Computer Software</t>
  </si>
  <si>
    <t>10-02-0250-1000</t>
  </si>
  <si>
    <t>10-02-0250-1100</t>
  </si>
  <si>
    <t>Wages - Part Time</t>
  </si>
  <si>
    <t>10-02-0250-2000</t>
  </si>
  <si>
    <t>10-02-0250-2100</t>
  </si>
  <si>
    <t>10-02-0250-2200</t>
  </si>
  <si>
    <t>10-02-0250-2300</t>
  </si>
  <si>
    <t>10-02-0250-2400</t>
  </si>
  <si>
    <t>10-02-0250-2403</t>
  </si>
  <si>
    <t>10-02-0250-2500</t>
  </si>
  <si>
    <t>Travel - Mileage</t>
  </si>
  <si>
    <t>10-02-0250-2600</t>
  </si>
  <si>
    <t>Training - Mileage</t>
  </si>
  <si>
    <t>10-02-0250-2601</t>
  </si>
  <si>
    <t>Training - Accommodations</t>
  </si>
  <si>
    <t>10-02-0250-2602</t>
  </si>
  <si>
    <t>Training - Meals</t>
  </si>
  <si>
    <t>10-02-0250-2610</t>
  </si>
  <si>
    <t>10-02-0250-2700</t>
  </si>
  <si>
    <t>10-02-0250-3100</t>
  </si>
  <si>
    <t>Heat</t>
  </si>
  <si>
    <t>10-02-0250-3101</t>
  </si>
  <si>
    <t>Hydro</t>
  </si>
  <si>
    <t>10-02-0250-3300</t>
  </si>
  <si>
    <t>Telephone</t>
  </si>
  <si>
    <t>10-02-0250-3301</t>
  </si>
  <si>
    <t>10-02-0250-3330</t>
  </si>
  <si>
    <t>10-02-0250-3400</t>
  </si>
  <si>
    <t>10-02-0250-3800</t>
  </si>
  <si>
    <t>Audit Fees</t>
  </si>
  <si>
    <t>10-02-0250-3810</t>
  </si>
  <si>
    <t>10-02-0250-3820</t>
  </si>
  <si>
    <t>10-02-0250-3830</t>
  </si>
  <si>
    <t>10-02-0250-3900</t>
  </si>
  <si>
    <t>10-02-0250-4110</t>
  </si>
  <si>
    <t>10-02-0250-4111</t>
  </si>
  <si>
    <t>10-02-0250-4112</t>
  </si>
  <si>
    <t>Supplies</t>
  </si>
  <si>
    <t>10-02-0250-4210</t>
  </si>
  <si>
    <t>Postage</t>
  </si>
  <si>
    <t>10-02-0250-4300</t>
  </si>
  <si>
    <t>10-02-0250-4310</t>
  </si>
  <si>
    <t>10-02-0250-4315</t>
  </si>
  <si>
    <t>10-02-0250-4320</t>
  </si>
  <si>
    <t>Econ Development (Comm Planning)</t>
  </si>
  <si>
    <t>10-02-0250-4330</t>
  </si>
  <si>
    <t>Grant Exp Mat &amp; Supplies</t>
  </si>
  <si>
    <t>10-02-0250-4410</t>
  </si>
  <si>
    <t>10-02-0250-4800</t>
  </si>
  <si>
    <t>Health &amp; Safety</t>
  </si>
  <si>
    <t>1002-0250-5130</t>
  </si>
  <si>
    <t>10-02-0250-5131</t>
  </si>
  <si>
    <t>Cleaning</t>
  </si>
  <si>
    <t>10-02-0250-5164</t>
  </si>
  <si>
    <t>Office Equipment Maint.</t>
  </si>
  <si>
    <t>10-02-0250-5170</t>
  </si>
  <si>
    <t>Maint. Computer Hardware - Admin</t>
  </si>
  <si>
    <t>10-02-0410-5170</t>
  </si>
  <si>
    <t>Maint. Computer Hardware - Fire</t>
  </si>
  <si>
    <t>10-04-0440-5170</t>
  </si>
  <si>
    <t>Maint. Computer Hardware - Bldg/ByLaw</t>
  </si>
  <si>
    <t>10-02-0600-5170</t>
  </si>
  <si>
    <t>Maint. Computer Hardware - Roads</t>
  </si>
  <si>
    <t>10-02-0800-5170</t>
  </si>
  <si>
    <t>Maint. Computer Hardware - Waste</t>
  </si>
  <si>
    <t>10-02-1600-5170</t>
  </si>
  <si>
    <t>Maint. Computer Hardware - Parks &amp;Rec</t>
  </si>
  <si>
    <t>10-02-1800-5170</t>
  </si>
  <si>
    <t>Maint. Computer Hardware - Planning</t>
  </si>
  <si>
    <t>10-02-0250-5180</t>
  </si>
  <si>
    <t>Maint. Computer Software - Admin</t>
  </si>
  <si>
    <t>10-02-0410-5180</t>
  </si>
  <si>
    <t>Maint. Computer Software - Fire</t>
  </si>
  <si>
    <t>10-02-0440-5180</t>
  </si>
  <si>
    <t>Maint. Computer Software - Bldg/Bylaw</t>
  </si>
  <si>
    <t>10-02-0600-5180</t>
  </si>
  <si>
    <t>Maint. Computer Software - Roads</t>
  </si>
  <si>
    <t>10-02-0800-5180</t>
  </si>
  <si>
    <t>Maint. Computer Software - Waste</t>
  </si>
  <si>
    <t>10-02-1600-5180</t>
  </si>
  <si>
    <t>Maint. Computer Software - Parks &amp; Rec</t>
  </si>
  <si>
    <t>10-02-1800-5180</t>
  </si>
  <si>
    <t>Maint. Computer Software - Planning</t>
  </si>
  <si>
    <t>10-02-0250-5181</t>
  </si>
  <si>
    <t>Web Page Maintenance</t>
  </si>
  <si>
    <t>10-02-0250-5330</t>
  </si>
  <si>
    <t>TCA UT Building</t>
  </si>
  <si>
    <t>10-02-0250-5360</t>
  </si>
  <si>
    <t>TCA UT Equipment</t>
  </si>
  <si>
    <t>10-02-0250-5370</t>
  </si>
  <si>
    <t>TCA UT Computer Hardware</t>
  </si>
  <si>
    <t>10-02-0250-7000</t>
  </si>
  <si>
    <t>Bank Service Charges</t>
  </si>
  <si>
    <t>10-02-0250-7010</t>
  </si>
  <si>
    <t>Financial Fees</t>
  </si>
  <si>
    <t>10-02-0250-7030</t>
  </si>
  <si>
    <t>Penny Rounding</t>
  </si>
  <si>
    <t>10-02-0250-7300</t>
  </si>
  <si>
    <t>Municipal Property Taxes</t>
  </si>
  <si>
    <t>10-02-0250-5530</t>
  </si>
  <si>
    <t>10-02-0250-5560</t>
  </si>
  <si>
    <t>Capital - Equipment</t>
  </si>
  <si>
    <t>10-02-0250-5970</t>
  </si>
  <si>
    <t>Transfer to Reserve</t>
  </si>
  <si>
    <t>10-02-0250-5970 (2)</t>
  </si>
  <si>
    <t>Tsf to Asset Management Reserve</t>
  </si>
  <si>
    <t>10-10-1010-8010</t>
  </si>
  <si>
    <t>Federal Grants</t>
  </si>
  <si>
    <t>10-10-1010-8020</t>
  </si>
  <si>
    <t>10-10-1010-8200</t>
  </si>
  <si>
    <t>Medical Centre Rent</t>
  </si>
  <si>
    <t>10-10-1010-8970</t>
  </si>
  <si>
    <t>Transfer From Reserve</t>
  </si>
  <si>
    <t>10-10-1010-3100</t>
  </si>
  <si>
    <t>10-10-1010-3101</t>
  </si>
  <si>
    <t>10-10-1010-3400</t>
  </si>
  <si>
    <t>10-10-1010-4111</t>
  </si>
  <si>
    <t>10-10-1010-4112</t>
  </si>
  <si>
    <t>10-10-1010-5130</t>
  </si>
  <si>
    <t>Building Maintenance</t>
  </si>
  <si>
    <t>10-10-1010-5131</t>
  </si>
  <si>
    <t>Custodial Services</t>
  </si>
  <si>
    <t>10-10-1010-5530</t>
  </si>
  <si>
    <t>Capital Bldg (Med Ctr)</t>
  </si>
  <si>
    <t>11-16-1640-8020</t>
  </si>
  <si>
    <t>Ontario Grant - Operations</t>
  </si>
  <si>
    <t>11-16-1640-8022</t>
  </si>
  <si>
    <t>Grants - Other</t>
  </si>
  <si>
    <t>11-16-1640-8110</t>
  </si>
  <si>
    <t>User Fees - Out of Township</t>
  </si>
  <si>
    <t>11-16-1640-8320</t>
  </si>
  <si>
    <t>Directory Sales</t>
  </si>
  <si>
    <t>11-16-1640-8331</t>
  </si>
  <si>
    <t>Computer Services</t>
  </si>
  <si>
    <t>11-16-1640-8332</t>
  </si>
  <si>
    <t>Photocopy Income</t>
  </si>
  <si>
    <t>11-16-1640-8601</t>
  </si>
  <si>
    <t>Overdue Fees</t>
  </si>
  <si>
    <t>11-16-1640-8700</t>
  </si>
  <si>
    <t>Bank Interest</t>
  </si>
  <si>
    <t>11-16-1640-8810</t>
  </si>
  <si>
    <t>11-16-1640-8811</t>
  </si>
  <si>
    <t>Fundraising</t>
  </si>
  <si>
    <t>11-16-1640-8970</t>
  </si>
  <si>
    <t>11-16-1640-1000</t>
  </si>
  <si>
    <t>11-16-1640-1100</t>
  </si>
  <si>
    <t>11-16-1640-1110</t>
  </si>
  <si>
    <t>Part-Time - Grant Employees</t>
  </si>
  <si>
    <t>11-16-1640-2000</t>
  </si>
  <si>
    <t>EI/CPP</t>
  </si>
  <si>
    <t>11-16-1640-2100</t>
  </si>
  <si>
    <t>EHT</t>
  </si>
  <si>
    <t>11-16-1640-2200</t>
  </si>
  <si>
    <t>WSIB</t>
  </si>
  <si>
    <t>11-16-1640-2300</t>
  </si>
  <si>
    <t>OMERS</t>
  </si>
  <si>
    <t>11-16-1640-2400</t>
  </si>
  <si>
    <t>Health Benefits</t>
  </si>
  <si>
    <t>11-16-1640-2500</t>
  </si>
  <si>
    <t>Mileage</t>
  </si>
  <si>
    <t>11-16-1640-2603</t>
  </si>
  <si>
    <t>11-16-1640-2700</t>
  </si>
  <si>
    <t>11-16-1640-3100</t>
  </si>
  <si>
    <t>Heat - Apsley</t>
  </si>
  <si>
    <t>11-16-1640-3101</t>
  </si>
  <si>
    <t>Hydro - Apsley</t>
  </si>
  <si>
    <t>11-16-1640-3210</t>
  </si>
  <si>
    <t>Copier Lease</t>
  </si>
  <si>
    <t>11-16-1640-3220</t>
  </si>
  <si>
    <t>Library Security System</t>
  </si>
  <si>
    <t>11-16-1640-3300</t>
  </si>
  <si>
    <t>Telephone - Apsley</t>
  </si>
  <si>
    <t>11-16-1640-3330</t>
  </si>
  <si>
    <t>11-16-1640-3400</t>
  </si>
  <si>
    <t>11-16-1640-3401</t>
  </si>
  <si>
    <t>Insurance - Contents</t>
  </si>
  <si>
    <t>11-16-1640-3800</t>
  </si>
  <si>
    <t>11-16-1640-3820</t>
  </si>
  <si>
    <t>11-16-1640-4110</t>
  </si>
  <si>
    <t>11-16-1640-4111</t>
  </si>
  <si>
    <t>11-16-1640-4112</t>
  </si>
  <si>
    <t>Supplies (Processing)</t>
  </si>
  <si>
    <t>11-16-1640-4210</t>
  </si>
  <si>
    <t>11-16-1640-4301</t>
  </si>
  <si>
    <t>Directory Expense</t>
  </si>
  <si>
    <t>11-16-1640-4310</t>
  </si>
  <si>
    <t>Promotional/Marketing</t>
  </si>
  <si>
    <t>11-16-1640-4410</t>
  </si>
  <si>
    <t>11-16-1640-4411</t>
  </si>
  <si>
    <t>Books</t>
  </si>
  <si>
    <t>11-16-1640-4420</t>
  </si>
  <si>
    <t>Videos/MultiMedia</t>
  </si>
  <si>
    <t>11-16-1640-4710</t>
  </si>
  <si>
    <t>Volunteer Appreciation Expense</t>
  </si>
  <si>
    <t>11-16-1640-5130</t>
  </si>
  <si>
    <t>Maintenance - Apsley</t>
  </si>
  <si>
    <t>11-16-1640-5131</t>
  </si>
  <si>
    <t>11-16-1640-5160</t>
  </si>
  <si>
    <t>11-16-1640-5170</t>
  </si>
  <si>
    <t>Computer Hardware/Software</t>
  </si>
  <si>
    <t>11-16-1640-5171</t>
  </si>
  <si>
    <t>Computer Support Maint.</t>
  </si>
  <si>
    <t>11-16-1640-5330</t>
  </si>
  <si>
    <t>TCA UT Bldg</t>
  </si>
  <si>
    <t>11-16-1640-7000</t>
  </si>
  <si>
    <t>11-16-1641-3100</t>
  </si>
  <si>
    <t>Heat - Woodview</t>
  </si>
  <si>
    <t>11-16-1641-3101</t>
  </si>
  <si>
    <t>Hydro - Woodview</t>
  </si>
  <si>
    <t>11-16-1641-3300</t>
  </si>
  <si>
    <t>Telephone - Woodview</t>
  </si>
  <si>
    <t>11-16-1641-5130</t>
  </si>
  <si>
    <t>Maintenance - Woodview</t>
  </si>
  <si>
    <t>11-16-1640-5530</t>
  </si>
  <si>
    <t>11-16-1640-5560</t>
  </si>
  <si>
    <t>51-16-1640-0320</t>
  </si>
  <si>
    <t>Capital - Land Improvement</t>
  </si>
  <si>
    <t>11-16-1640-5970</t>
  </si>
  <si>
    <t>Parks and Recreation</t>
  </si>
  <si>
    <t>10-16-1600-8010</t>
  </si>
  <si>
    <t>10-16-1600-8020</t>
  </si>
  <si>
    <t>10-16-1600-8200</t>
  </si>
  <si>
    <t>Community Hall Rentals</t>
  </si>
  <si>
    <t>10-16-1600-8240</t>
  </si>
  <si>
    <t>Billboard Rental/Advertising</t>
  </si>
  <si>
    <t>10-16-1600-8320</t>
  </si>
  <si>
    <t>10-16-1600-8321</t>
  </si>
  <si>
    <t>Promotional Sales</t>
  </si>
  <si>
    <t>10-16-1600-8360</t>
  </si>
  <si>
    <t>Snack Bar Revenue</t>
  </si>
  <si>
    <t>10-16-1600-8371</t>
  </si>
  <si>
    <t>Sports Registration</t>
  </si>
  <si>
    <t>10-16-1600-8372</t>
  </si>
  <si>
    <t>Skating Registration</t>
  </si>
  <si>
    <t>10-16-1600-8373</t>
  </si>
  <si>
    <t>Swim Program</t>
  </si>
  <si>
    <t>10-16-1600-8800</t>
  </si>
  <si>
    <t>10-16-1600-8810</t>
  </si>
  <si>
    <t>10-16-1600-8815</t>
  </si>
  <si>
    <t>Custodial Services (Municipal Depts)</t>
  </si>
  <si>
    <t>10-16-1610-8210</t>
  </si>
  <si>
    <t>Arena Surface Rentals</t>
  </si>
  <si>
    <t>10-16-1610-8215</t>
  </si>
  <si>
    <t>AC - Fitness Centre Revenue</t>
  </si>
  <si>
    <t>10-16-1612-8216</t>
  </si>
  <si>
    <t>Fitness Centre - Classes Revenue</t>
  </si>
  <si>
    <t>10-16-1620-8200</t>
  </si>
  <si>
    <t>Glen Alda Community Centre</t>
  </si>
  <si>
    <t>10-16-1630-8200</t>
  </si>
  <si>
    <t>Wilson Park Comm Hall</t>
  </si>
  <si>
    <t>10-16-1600-8970</t>
  </si>
  <si>
    <t>10-16-1600-8971</t>
  </si>
  <si>
    <t>.</t>
  </si>
  <si>
    <t>10-16-1600-1000</t>
  </si>
  <si>
    <t>10-16-1600-1100</t>
  </si>
  <si>
    <t>Part Time Wages</t>
  </si>
  <si>
    <t>10-16-1600-2000</t>
  </si>
  <si>
    <t>10-16-1600-2100</t>
  </si>
  <si>
    <t>Benefits-EHT</t>
  </si>
  <si>
    <t>10-16-1600-2200</t>
  </si>
  <si>
    <t>Benefits-WSIB</t>
  </si>
  <si>
    <t>10-16-1600-2300</t>
  </si>
  <si>
    <t>Benefits-OMERS</t>
  </si>
  <si>
    <t>10-16-1600-2400</t>
  </si>
  <si>
    <t>Benefits-Manulife</t>
  </si>
  <si>
    <t>10-16-1600-2403</t>
  </si>
  <si>
    <t>10-16-1600-2490</t>
  </si>
  <si>
    <t>Uniforms &amp; Clothing</t>
  </si>
  <si>
    <t>10-16-1600-2500</t>
  </si>
  <si>
    <t>10-16-1600-2503</t>
  </si>
  <si>
    <t>Travel Other</t>
  </si>
  <si>
    <t>10-16-1600-2610</t>
  </si>
  <si>
    <t>10-16-1600-2700</t>
  </si>
  <si>
    <t>10-16-1600-3100</t>
  </si>
  <si>
    <t>NKCC Heat</t>
  </si>
  <si>
    <t>10-16-1600-3101</t>
  </si>
  <si>
    <t>NKCC Hydro</t>
  </si>
  <si>
    <t>10-16-1600-3102</t>
  </si>
  <si>
    <t>Hydro Mt. Julian</t>
  </si>
  <si>
    <t>10-16-1600-3300</t>
  </si>
  <si>
    <t>10-16-1600-3330</t>
  </si>
  <si>
    <t>10-16-1600-3400</t>
  </si>
  <si>
    <t>10-16-1600-3820</t>
  </si>
  <si>
    <t>Professional Consulting Fees</t>
  </si>
  <si>
    <t>10-16-1600-3900</t>
  </si>
  <si>
    <t>10-16-1600-4110</t>
  </si>
  <si>
    <t>10-16-1600-4111</t>
  </si>
  <si>
    <t>10-16-1600-4300</t>
  </si>
  <si>
    <t>10-16-1600-4310</t>
  </si>
  <si>
    <t>10-16-1600-4311</t>
  </si>
  <si>
    <t>Promotional Supplies - Sports Program</t>
  </si>
  <si>
    <t>10-16-1600-4360</t>
  </si>
  <si>
    <t>NKCC Snack Bar Supplies</t>
  </si>
  <si>
    <t>10-16-1600-4500</t>
  </si>
  <si>
    <t>Tools</t>
  </si>
  <si>
    <t>10-16-1600-5130</t>
  </si>
  <si>
    <t>Maint Building</t>
  </si>
  <si>
    <t>10-16-1600-5160</t>
  </si>
  <si>
    <t>Maintenance Equipment</t>
  </si>
  <si>
    <t>10-16-1600-5164</t>
  </si>
  <si>
    <t>Rent/Maint Office Equip</t>
  </si>
  <si>
    <t>10-16-1600-5190</t>
  </si>
  <si>
    <t>Maint. Vehicles</t>
  </si>
  <si>
    <t>10-16-1600-5191</t>
  </si>
  <si>
    <t>Gas &amp; Oil-Truck &amp; Equip</t>
  </si>
  <si>
    <t>10-16-1600-7000</t>
  </si>
  <si>
    <t>10-16-1600-5330</t>
  </si>
  <si>
    <t>10-16-1600-5360</t>
  </si>
  <si>
    <t>10-16-1600-5530</t>
  </si>
  <si>
    <t>10-16-1600-5560</t>
  </si>
  <si>
    <t>10-16-1603-3101</t>
  </si>
  <si>
    <t>Chandos Beach - Hydro</t>
  </si>
  <si>
    <t>10-16-1603-3300</t>
  </si>
  <si>
    <t>10-16-1603-4111</t>
  </si>
  <si>
    <t>Cleaning/Bldg Main - Chandos</t>
  </si>
  <si>
    <t>10-16-1604-4111</t>
  </si>
  <si>
    <t>Cleaning/Bldg Main Supp - Quarry Beach</t>
  </si>
  <si>
    <t>10-16-1608-4310</t>
  </si>
  <si>
    <t>Skating Club Promo Supplies</t>
  </si>
  <si>
    <t>10-16-1609-1100</t>
  </si>
  <si>
    <t>Part Time Wages - Swim Program</t>
  </si>
  <si>
    <t>10-16-1609-2000</t>
  </si>
  <si>
    <t>10-16-1609-2100</t>
  </si>
  <si>
    <t>10-16-1609-2200</t>
  </si>
  <si>
    <t>10-16-1609-4310</t>
  </si>
  <si>
    <t>Promotional Expenses</t>
  </si>
  <si>
    <t>10-16-1610-5160</t>
  </si>
  <si>
    <t>Maint Equipment</t>
  </si>
  <si>
    <t>10-16-1610-5167</t>
  </si>
  <si>
    <t>Zamboni Fuel</t>
  </si>
  <si>
    <t>10-16-1612-1100</t>
  </si>
  <si>
    <t>Fitness Centre Wages P/T</t>
  </si>
  <si>
    <t>10-16-1612-5130</t>
  </si>
  <si>
    <t>Fitness Centre - Cleaning/Maint.</t>
  </si>
  <si>
    <t>10-16-1620-3100</t>
  </si>
  <si>
    <t>Heat - Glen Alda</t>
  </si>
  <si>
    <t>10-16-1620-3101</t>
  </si>
  <si>
    <t>Hydro - Glen Alda</t>
  </si>
  <si>
    <t>10-16-1620-3300</t>
  </si>
  <si>
    <t>10-16-1620-3330</t>
  </si>
  <si>
    <t>10-16-1620-3400</t>
  </si>
  <si>
    <t>10-16-1620-4111</t>
  </si>
  <si>
    <t>Cleaning/Bldg Maint Supp</t>
  </si>
  <si>
    <t>10-16-1630-3100</t>
  </si>
  <si>
    <t>Heat - Wilson Park</t>
  </si>
  <si>
    <t>10-16-1630-3101</t>
  </si>
  <si>
    <t>Hydro - Wilson Park</t>
  </si>
  <si>
    <t>10-16-1630-3300</t>
  </si>
  <si>
    <t>10-16-1630-3330</t>
  </si>
  <si>
    <t>10-16-1630-3400</t>
  </si>
  <si>
    <t>10-16-1630-4110</t>
  </si>
  <si>
    <t>10-16-1630-4111</t>
  </si>
  <si>
    <t>Cleaning/Bldg Main Supplies</t>
  </si>
  <si>
    <t>10-16-1630-4310</t>
  </si>
  <si>
    <t>Promotional Expenses - Wilson Park</t>
  </si>
  <si>
    <t>10-16-1630-5130</t>
  </si>
  <si>
    <t>Maint Bldg - Wilson Park</t>
  </si>
  <si>
    <t>10-18-1800-8010</t>
  </si>
  <si>
    <t>10-18-1800-8020</t>
  </si>
  <si>
    <t>10-18-1800-8160</t>
  </si>
  <si>
    <t>Planning Applications</t>
  </si>
  <si>
    <t>10-18-1800-8150</t>
  </si>
  <si>
    <t>10-18-1800-8970</t>
  </si>
  <si>
    <t>10-18-1800-1000</t>
  </si>
  <si>
    <t>10-18-1800-1100</t>
  </si>
  <si>
    <t>Part Time</t>
  </si>
  <si>
    <t>10-18-1800-2000</t>
  </si>
  <si>
    <t>10-18-1800-2100</t>
  </si>
  <si>
    <t>10-18-1800-2200</t>
  </si>
  <si>
    <t>10-18-1800-2300</t>
  </si>
  <si>
    <t>10-18-1800-2400</t>
  </si>
  <si>
    <t>10-18-1800-2490</t>
  </si>
  <si>
    <t>10-18-1800-2500</t>
  </si>
  <si>
    <t>10-18-1800-2600</t>
  </si>
  <si>
    <t>10-18-1800-2601</t>
  </si>
  <si>
    <t>10-18-1800-2602</t>
  </si>
  <si>
    <t>10-18-1800-2610</t>
  </si>
  <si>
    <t>10-18-1800-2700</t>
  </si>
  <si>
    <t>10-18-1800-3301</t>
  </si>
  <si>
    <t>10-18-1800-3330</t>
  </si>
  <si>
    <t>10-18-1800-3400</t>
  </si>
  <si>
    <t>10-18-1800-3810</t>
  </si>
  <si>
    <t>10-18-1800-3820</t>
  </si>
  <si>
    <t>10-18-1800-4110</t>
  </si>
  <si>
    <t>10-18-1800-4300</t>
  </si>
  <si>
    <t>10-18-1800-4318</t>
  </si>
  <si>
    <t>CIP Programs &amp; Incentives</t>
  </si>
  <si>
    <t>10-18-1800-4410</t>
  </si>
  <si>
    <t>10-18-1800-5164</t>
  </si>
  <si>
    <t>10-18-1800-5190</t>
  </si>
  <si>
    <t>Vehicle Maintenance</t>
  </si>
  <si>
    <t>10-18-1800-5191</t>
  </si>
  <si>
    <t>Vehicle Gas/Oil/Fuel</t>
  </si>
  <si>
    <t>10-18-1800-7000</t>
  </si>
  <si>
    <t>10-18-1800-5970</t>
  </si>
  <si>
    <t>10-04-0420-8020</t>
  </si>
  <si>
    <t>RIDE Grant</t>
  </si>
  <si>
    <t>10-04-0420-8021</t>
  </si>
  <si>
    <t>Provincial Grant (CSPT)</t>
  </si>
  <si>
    <t>10-04-0420-8800</t>
  </si>
  <si>
    <t>O.P.P. Recoverable Expenses</t>
  </si>
  <si>
    <t>10-04-0420-8810</t>
  </si>
  <si>
    <t>10-04-0420-8970</t>
  </si>
  <si>
    <t>Transfer From Reserves</t>
  </si>
  <si>
    <t>10-04-0420-1500</t>
  </si>
  <si>
    <t>Honorariums</t>
  </si>
  <si>
    <t>10-04-0420-2500</t>
  </si>
  <si>
    <t>10-04-0420-2600</t>
  </si>
  <si>
    <t>10-04-0420-2601</t>
  </si>
  <si>
    <t>10-04-0420-2602</t>
  </si>
  <si>
    <t>10-04-0420-2610</t>
  </si>
  <si>
    <t>10-04-0420-2700</t>
  </si>
  <si>
    <t>10-04-0420-3100</t>
  </si>
  <si>
    <t>10-04-0420-3101</t>
  </si>
  <si>
    <t>10-04-0420-3900</t>
  </si>
  <si>
    <t>10-04-0420-4315</t>
  </si>
  <si>
    <t>10-04-0420-4316</t>
  </si>
  <si>
    <t>Community Initiatives</t>
  </si>
  <si>
    <t>10-04-0420-4700</t>
  </si>
  <si>
    <t>RIDE Expenses</t>
  </si>
  <si>
    <t>10-04-0420-4710</t>
  </si>
  <si>
    <t>Special Event</t>
  </si>
  <si>
    <t>10-04-0420-5560</t>
  </si>
  <si>
    <t>Capital Equipment</t>
  </si>
  <si>
    <t>10-04-0420-5970</t>
  </si>
  <si>
    <t>10-04-0420-7900</t>
  </si>
  <si>
    <t>Policing Requisition</t>
  </si>
  <si>
    <t>10-06-0600-8010</t>
  </si>
  <si>
    <t>10-06-0600-8020</t>
  </si>
  <si>
    <t>10-06-0600-8101</t>
  </si>
  <si>
    <t>Entrance Permits</t>
  </si>
  <si>
    <t>10-06-0600-8220</t>
  </si>
  <si>
    <t>County Revenue</t>
  </si>
  <si>
    <t>10-06-0600-8320</t>
  </si>
  <si>
    <t>Equipment Sales</t>
  </si>
  <si>
    <t>10-06-0600-8800</t>
  </si>
  <si>
    <t>10-06-0600-8820</t>
  </si>
  <si>
    <t>Agreements</t>
  </si>
  <si>
    <t>10-06-0600-8970</t>
  </si>
  <si>
    <t xml:space="preserve">Transfer from Reserve </t>
  </si>
  <si>
    <t>10-06-0600-8971</t>
  </si>
  <si>
    <t>Transfer from Reserve Fund</t>
  </si>
  <si>
    <t>10-06-0600-1000</t>
  </si>
  <si>
    <t>10-06-0600-1100</t>
  </si>
  <si>
    <t>10-06-0600-2000</t>
  </si>
  <si>
    <t>10-06-0600-2100</t>
  </si>
  <si>
    <t>10-06-0600-2200</t>
  </si>
  <si>
    <t>10-06-0600-2300</t>
  </si>
  <si>
    <t>10-06-0600-2400</t>
  </si>
  <si>
    <t>10-06-0600-2403</t>
  </si>
  <si>
    <t>10-06-0600-2490</t>
  </si>
  <si>
    <t>10-06-0600-2600</t>
  </si>
  <si>
    <t>10-06-0600-2601</t>
  </si>
  <si>
    <t>10-06-0600-2602</t>
  </si>
  <si>
    <t>10-06-0600-2610</t>
  </si>
  <si>
    <t>10-06-0600-2700</t>
  </si>
  <si>
    <t>10-06-0600-3100</t>
  </si>
  <si>
    <t xml:space="preserve">Heat </t>
  </si>
  <si>
    <t>10-06-0600-3101</t>
  </si>
  <si>
    <t>10-06-0600-3300</t>
  </si>
  <si>
    <t>10-06-0600-3301</t>
  </si>
  <si>
    <t>10-06-0600-3330</t>
  </si>
  <si>
    <t>10-06-0600-3400</t>
  </si>
  <si>
    <t>10-06-0600-3410</t>
  </si>
  <si>
    <t>Licenses</t>
  </si>
  <si>
    <t>10-06-0600-3810</t>
  </si>
  <si>
    <t>10-06-0600-3820</t>
  </si>
  <si>
    <t>10-06-0600-3900</t>
  </si>
  <si>
    <t>10-06-0600-4110</t>
  </si>
  <si>
    <t>10-06-0600-4300</t>
  </si>
  <si>
    <t>10-06-0600-4440</t>
  </si>
  <si>
    <t>Signs</t>
  </si>
  <si>
    <t>10-06-0600-4500</t>
  </si>
  <si>
    <t>Small Tools/Equipment Parts</t>
  </si>
  <si>
    <t>10-06-0600-4600</t>
  </si>
  <si>
    <t>Materials &amp; Supplies</t>
  </si>
  <si>
    <t>10-06-0600-4610</t>
  </si>
  <si>
    <t>Gravel</t>
  </si>
  <si>
    <t>10-06-0600-5130</t>
  </si>
  <si>
    <t>Maintenance Building</t>
  </si>
  <si>
    <t>10-06-0600-5131</t>
  </si>
  <si>
    <t>Cleaning/Bldg Maint</t>
  </si>
  <si>
    <t>10-06-0600-5160</t>
  </si>
  <si>
    <t>10-06-0600-5164</t>
  </si>
  <si>
    <t>Office Equipment Maintenance</t>
  </si>
  <si>
    <t>10-06-0600-5190</t>
  </si>
  <si>
    <t>Maintenance Vehicles</t>
  </si>
  <si>
    <t>10-06-0600-5191</t>
  </si>
  <si>
    <t>Fuel Diesel Oil</t>
  </si>
  <si>
    <t>10-06-0600-5330</t>
  </si>
  <si>
    <t>TCA-UT-Bldg</t>
  </si>
  <si>
    <t>10-06-0600-5530</t>
  </si>
  <si>
    <t>10-06-0600-5560</t>
  </si>
  <si>
    <t>10-06-0600-5540</t>
  </si>
  <si>
    <t>New Construction</t>
  </si>
  <si>
    <t>10-06-0600-7000</t>
  </si>
  <si>
    <t>10-06-0600-5970</t>
  </si>
  <si>
    <t>10-08-0800-8010</t>
  </si>
  <si>
    <t>10-0-0800-8020</t>
  </si>
  <si>
    <t>10-08-0800-8141</t>
  </si>
  <si>
    <t>Tipping Fees - Anstruther</t>
  </si>
  <si>
    <t>10-08-0800-8142</t>
  </si>
  <si>
    <t>Tipping Fees - Haultain</t>
  </si>
  <si>
    <t>10-08-0800-8148</t>
  </si>
  <si>
    <t>Depot Recycling Revenue</t>
  </si>
  <si>
    <t>10-08-0800-8310</t>
  </si>
  <si>
    <t>Bag Tags</t>
  </si>
  <si>
    <t>10-08-0800-8311</t>
  </si>
  <si>
    <t>Blue Boxes</t>
  </si>
  <si>
    <t>10-08-0800-8312</t>
  </si>
  <si>
    <t>Composters</t>
  </si>
  <si>
    <t>10-08-0800-8800</t>
  </si>
  <si>
    <t>Waste - Miscellaneous</t>
  </si>
  <si>
    <t>10-08-0800-8970</t>
  </si>
  <si>
    <t>10-08-0800-1000</t>
  </si>
  <si>
    <t>10-08-0800-1100</t>
  </si>
  <si>
    <t>10-08-0800-2000</t>
  </si>
  <si>
    <t>10-08-0800-2100</t>
  </si>
  <si>
    <t>10-08-0800-2200</t>
  </si>
  <si>
    <t>10-08-0800-2300</t>
  </si>
  <si>
    <t>10-08-0800-2400</t>
  </si>
  <si>
    <t>10-08-0800-2403</t>
  </si>
  <si>
    <t>Staff Recognition</t>
  </si>
  <si>
    <t>10-08-0800-2490</t>
  </si>
  <si>
    <t>10-08-0800-2610</t>
  </si>
  <si>
    <t>10-08-0800-3101</t>
  </si>
  <si>
    <t>10-08-0800-3250</t>
  </si>
  <si>
    <t>Garbage Pick-Up - Contractor</t>
  </si>
  <si>
    <t>10-08-0800-3251</t>
  </si>
  <si>
    <t>Transfer Station Bin Pick-Up</t>
  </si>
  <si>
    <t>10-08-0800-3252</t>
  </si>
  <si>
    <t>10-08-0800-3330</t>
  </si>
  <si>
    <t>10-08-0800-3400</t>
  </si>
  <si>
    <t>10-08-0800-3820</t>
  </si>
  <si>
    <t>10-08-0800-3900</t>
  </si>
  <si>
    <t>10-08-0800-4001</t>
  </si>
  <si>
    <t>10-08-0800-4002</t>
  </si>
  <si>
    <t>10-08-0800-4110</t>
  </si>
  <si>
    <t>10-08-0800-4111</t>
  </si>
  <si>
    <t>10-08-0800-4210</t>
  </si>
  <si>
    <t>10-08-0800-4300</t>
  </si>
  <si>
    <t>10-08-0800-4720</t>
  </si>
  <si>
    <t>County Campground Costs</t>
  </si>
  <si>
    <t>10-08-0800-5190</t>
  </si>
  <si>
    <t>Vehilce Maint/Repairs</t>
  </si>
  <si>
    <t>10-08-0800-5191</t>
  </si>
  <si>
    <t>10-08-0800-5330</t>
  </si>
  <si>
    <t>Capital Building - Under Threshold</t>
  </si>
  <si>
    <t>10-08-0800-5360</t>
  </si>
  <si>
    <t>Capital Equipment - Under Threshold</t>
  </si>
  <si>
    <t>10-08-0800-5530</t>
  </si>
  <si>
    <t>Capital-Building</t>
  </si>
  <si>
    <t>10-08-0800-5560</t>
  </si>
  <si>
    <t>Rent/Lease Land</t>
  </si>
  <si>
    <t>10-08-0800-5970</t>
  </si>
  <si>
    <t>BIPs/Links</t>
  </si>
  <si>
    <t>Other Revenue</t>
  </si>
  <si>
    <t>Salaries, Wages &amp; Benefits</t>
  </si>
  <si>
    <t>Travel &amp; Training</t>
  </si>
  <si>
    <t>Contracted Services</t>
  </si>
  <si>
    <t>Repairs &amp; Maintenance</t>
  </si>
  <si>
    <t>Capital</t>
  </si>
  <si>
    <t>PIL's</t>
  </si>
  <si>
    <t>Council &amp; Committee Remuneration &amp; Benefits</t>
  </si>
  <si>
    <t>Council Travel &amp; Training</t>
  </si>
  <si>
    <t>Council Contracted Services</t>
  </si>
  <si>
    <t>Council Materials &amp; Supplies</t>
  </si>
  <si>
    <t>Council Repairs &amp; Maintenance</t>
  </si>
  <si>
    <t>Admin Salaries, Wages &amp; Benefits</t>
  </si>
  <si>
    <t>Admin Travel &amp; Training</t>
  </si>
  <si>
    <t>Transfer From Reserve Funds</t>
  </si>
  <si>
    <t>Planning and Zoning</t>
  </si>
  <si>
    <t>Other Expenses</t>
  </si>
  <si>
    <t>Transfer to Reserve Fund</t>
  </si>
  <si>
    <t>10-02-0250-8020</t>
  </si>
  <si>
    <t>Wages &amp; Benefits</t>
  </si>
  <si>
    <t>2026 Draft Budget</t>
  </si>
  <si>
    <t>Public Works</t>
  </si>
  <si>
    <t>10-08-0800-7000</t>
  </si>
  <si>
    <t xml:space="preserve">Recycling Pick-up </t>
  </si>
  <si>
    <t>Membership Fees Telephones</t>
  </si>
  <si>
    <t xml:space="preserve">Cell Phones </t>
  </si>
  <si>
    <t>10-18-1800-3300</t>
  </si>
  <si>
    <t>Telephones</t>
  </si>
  <si>
    <t>10-18-1800-4111</t>
  </si>
  <si>
    <t xml:space="preserve">Advertising </t>
  </si>
  <si>
    <t>10-18-1800-8162</t>
  </si>
  <si>
    <t>From Asset Management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</si>
</sst>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&quot;$&quot;#,##0.00_);[Red]\(&quot;$&quot;#,##0.00\)"/>
    <numFmt numFmtId="166" formatCode="0.0%"/>
    <numFmt numFmtId="167" formatCode="#,##0.0;\-#,##0.0"/>
    <numFmt numFmtId="168" formatCode="0.0%;[Red]\-0.0%"/>
  </numFmts>
  <fonts count="21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u val="doubleAccounting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b/>
      <sz val="9"/>
      <name val="Arial"/>
      <family val="2"/>
    </font>
    <font>
      <sz val="9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97">
    <xf numFmtId="0" fontId="0" fillId="0" borderId="0" xfId="0"/>
    <xf numFmtId="3" fontId="0" fillId="0" borderId="0" xfId="0" applyNumberFormat="1"/>
    <xf numFmtId="37" fontId="0" fillId="0" borderId="0" xfId="0" applyNumberFormat="1"/>
    <xf numFmtId="37" fontId="4" fillId="0" borderId="0" xfId="0" applyNumberFormat="1" applyFont="1"/>
    <xf numFmtId="0" fontId="5" fillId="0" borderId="0" xfId="0" applyFont="1"/>
    <xf numFmtId="0" fontId="3" fillId="0" borderId="0" xfId="0" applyFont="1"/>
    <xf numFmtId="0" fontId="6" fillId="0" borderId="0" xfId="0" applyFont="1"/>
    <xf numFmtId="37" fontId="6" fillId="0" borderId="0" xfId="0" applyNumberFormat="1" applyFont="1"/>
    <xf numFmtId="0" fontId="7" fillId="0" borderId="0" xfId="0" applyFont="1" applyAlignment="1">
      <alignment horizontal="center"/>
    </xf>
    <xf numFmtId="37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37" fontId="6" fillId="0" borderId="0" xfId="0" applyNumberFormat="1" applyFont="1" applyProtection="1">
      <protection locked="0"/>
    </xf>
    <xf numFmtId="37" fontId="8" fillId="0" borderId="0" xfId="0" applyNumberFormat="1" applyFont="1"/>
    <xf numFmtId="37" fontId="9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8" fillId="0" borderId="0" xfId="0" applyNumberFormat="1" applyFont="1"/>
    <xf numFmtId="3" fontId="9" fillId="0" borderId="0" xfId="0" applyNumberFormat="1" applyFont="1"/>
    <xf numFmtId="37" fontId="7" fillId="0" borderId="0" xfId="0" applyNumberFormat="1" applyFont="1" applyAlignment="1">
      <alignment horizontal="center"/>
    </xf>
    <xf numFmtId="37" fontId="7" fillId="0" borderId="0" xfId="0" applyNumberFormat="1" applyFont="1"/>
    <xf numFmtId="0" fontId="1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0" fillId="0" borderId="0" xfId="1" applyNumberFormat="1" applyFont="1" applyAlignment="1">
      <alignment horizontal="center"/>
    </xf>
    <xf numFmtId="0" fontId="10" fillId="0" borderId="0" xfId="3" applyFont="1"/>
    <xf numFmtId="0" fontId="10" fillId="0" borderId="0" xfId="0" applyFont="1"/>
    <xf numFmtId="0" fontId="10" fillId="0" borderId="0" xfId="3" applyFont="1" applyAlignment="1">
      <alignment horizontal="center"/>
    </xf>
    <xf numFmtId="164" fontId="3" fillId="0" borderId="0" xfId="0" applyNumberFormat="1" applyFont="1"/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left"/>
    </xf>
    <xf numFmtId="37" fontId="3" fillId="0" borderId="0" xfId="0" applyNumberFormat="1" applyFont="1"/>
    <xf numFmtId="0" fontId="6" fillId="0" borderId="0" xfId="0" applyFont="1" applyAlignment="1">
      <alignment horizontal="left"/>
    </xf>
    <xf numFmtId="0" fontId="6" fillId="2" borderId="0" xfId="0" applyFont="1" applyFill="1"/>
    <xf numFmtId="37" fontId="6" fillId="2" borderId="0" xfId="0" applyNumberFormat="1" applyFont="1" applyFill="1"/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6" fillId="3" borderId="0" xfId="0" applyFont="1" applyFill="1"/>
    <xf numFmtId="37" fontId="6" fillId="3" borderId="0" xfId="0" applyNumberFormat="1" applyFont="1" applyFill="1"/>
    <xf numFmtId="0" fontId="10" fillId="3" borderId="0" xfId="0" applyFont="1" applyFill="1"/>
    <xf numFmtId="0" fontId="6" fillId="3" borderId="0" xfId="0" applyFont="1" applyFill="1" applyAlignment="1">
      <alignment horizontal="left"/>
    </xf>
    <xf numFmtId="0" fontId="7" fillId="0" borderId="0" xfId="0" applyFont="1"/>
    <xf numFmtId="37" fontId="12" fillId="0" borderId="0" xfId="0" applyNumberFormat="1" applyFont="1"/>
    <xf numFmtId="37" fontId="13" fillId="0" borderId="0" xfId="0" applyNumberFormat="1" applyFont="1"/>
    <xf numFmtId="166" fontId="13" fillId="0" borderId="0" xfId="0" applyNumberFormat="1" applyFont="1"/>
    <xf numFmtId="166" fontId="6" fillId="0" borderId="0" xfId="0" applyNumberFormat="1" applyFont="1" applyAlignment="1">
      <alignment horizontal="center" wrapText="1"/>
    </xf>
    <xf numFmtId="166" fontId="6" fillId="0" borderId="0" xfId="0" applyNumberFormat="1" applyFont="1"/>
    <xf numFmtId="166" fontId="0" fillId="0" borderId="0" xfId="0" applyNumberFormat="1"/>
    <xf numFmtId="166" fontId="6" fillId="0" borderId="0" xfId="4" applyNumberFormat="1" applyFont="1"/>
    <xf numFmtId="166" fontId="6" fillId="2" borderId="0" xfId="4" applyNumberFormat="1" applyFont="1" applyFill="1"/>
    <xf numFmtId="166" fontId="7" fillId="0" borderId="0" xfId="0" applyNumberFormat="1" applyFont="1"/>
    <xf numFmtId="37" fontId="14" fillId="0" borderId="0" xfId="0" applyNumberFormat="1" applyFont="1"/>
    <xf numFmtId="0" fontId="6" fillId="4" borderId="0" xfId="0" applyFont="1" applyFill="1"/>
    <xf numFmtId="37" fontId="6" fillId="4" borderId="0" xfId="0" applyNumberFormat="1" applyFont="1" applyFill="1"/>
    <xf numFmtId="166" fontId="6" fillId="4" borderId="0" xfId="4" applyNumberFormat="1" applyFont="1" applyFill="1"/>
    <xf numFmtId="0" fontId="6" fillId="4" borderId="0" xfId="0" applyFont="1" applyFill="1" applyAlignment="1">
      <alignment horizontal="left"/>
    </xf>
    <xf numFmtId="37" fontId="5" fillId="0" borderId="0" xfId="0" applyNumberFormat="1" applyFont="1"/>
    <xf numFmtId="0" fontId="15" fillId="0" borderId="0" xfId="0" applyFont="1"/>
    <xf numFmtId="166" fontId="6" fillId="0" borderId="0" xfId="4" applyNumberFormat="1" applyFont="1" applyFill="1"/>
    <xf numFmtId="0" fontId="10" fillId="0" borderId="0" xfId="2" applyFont="1" applyAlignment="1">
      <alignment horizontal="left"/>
    </xf>
    <xf numFmtId="49" fontId="10" fillId="0" borderId="0" xfId="1" applyNumberFormat="1" applyFont="1" applyAlignment="1">
      <alignment horizontal="left"/>
    </xf>
    <xf numFmtId="37" fontId="6" fillId="0" borderId="0" xfId="0" applyNumberFormat="1" applyFont="1" applyAlignment="1">
      <alignment horizontal="right" wrapText="1"/>
    </xf>
    <xf numFmtId="39" fontId="8" fillId="0" borderId="0" xfId="0" applyNumberFormat="1" applyFont="1"/>
    <xf numFmtId="39" fontId="0" fillId="0" borderId="0" xfId="0" applyNumberFormat="1"/>
    <xf numFmtId="166" fontId="15" fillId="0" borderId="0" xfId="0" applyNumberFormat="1" applyFont="1"/>
    <xf numFmtId="49" fontId="6" fillId="0" borderId="0" xfId="0" applyNumberFormat="1" applyFont="1" applyAlignment="1">
      <alignment horizontal="center"/>
    </xf>
    <xf numFmtId="3" fontId="15" fillId="0" borderId="0" xfId="0" applyNumberFormat="1" applyFont="1"/>
    <xf numFmtId="0" fontId="0" fillId="0" borderId="0" xfId="0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10" fontId="6" fillId="0" borderId="0" xfId="0" applyNumberFormat="1" applyFont="1"/>
    <xf numFmtId="37" fontId="7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37" fontId="6" fillId="5" borderId="0" xfId="0" applyNumberFormat="1" applyFont="1" applyFill="1"/>
    <xf numFmtId="166" fontId="6" fillId="5" borderId="0" xfId="4" applyNumberFormat="1" applyFont="1" applyFill="1"/>
    <xf numFmtId="0" fontId="10" fillId="5" borderId="0" xfId="0" applyFont="1" applyFill="1" applyAlignment="1">
      <alignment horizontal="left"/>
    </xf>
    <xf numFmtId="168" fontId="6" fillId="0" borderId="0" xfId="0" applyNumberFormat="1" applyFont="1"/>
    <xf numFmtId="168" fontId="6" fillId="0" borderId="0" xfId="0" applyNumberFormat="1" applyFont="1" applyAlignment="1">
      <alignment horizontal="center" wrapText="1"/>
    </xf>
    <xf numFmtId="168" fontId="6" fillId="0" borderId="0" xfId="4" applyNumberFormat="1" applyFont="1" applyFill="1"/>
    <xf numFmtId="168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37" fontId="1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5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5" applyFont="1" applyAlignment="1">
      <alignment horizontal="center" vertical="center" wrapText="1"/>
    </xf>
    <xf numFmtId="0" fontId="16" fillId="0" borderId="0" xfId="0" applyFont="1" applyAlignment="1">
      <alignment horizontal="center" vertical="center" textRotation="90" wrapText="1"/>
    </xf>
    <xf numFmtId="0" fontId="18" fillId="0" borderId="0" xfId="5" applyFont="1" applyBorder="1" applyAlignment="1">
      <alignment horizontal="center" vertical="center" wrapText="1"/>
    </xf>
    <xf numFmtId="37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0" xfId="4" applyNumberFormat="1" applyFont="1" applyBorder="1" applyAlignment="1">
      <alignment horizontal="center" vertical="center"/>
    </xf>
    <xf numFmtId="166" fontId="6" fillId="0" borderId="5" xfId="4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37" fontId="0" fillId="0" borderId="7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4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166" fontId="7" fillId="0" borderId="2" xfId="0" applyNumberFormat="1" applyFont="1" applyBorder="1"/>
    <xf numFmtId="166" fontId="6" fillId="0" borderId="2" xfId="0" applyNumberFormat="1" applyFont="1" applyBorder="1"/>
    <xf numFmtId="0" fontId="0" fillId="0" borderId="2" xfId="0" applyBorder="1" applyAlignment="1">
      <alignment horizontal="center" vertical="center" wrapText="1"/>
    </xf>
    <xf numFmtId="0" fontId="7" fillId="0" borderId="6" xfId="0" applyFont="1" applyBorder="1"/>
    <xf numFmtId="0" fontId="6" fillId="0" borderId="7" xfId="0" applyFont="1" applyBorder="1"/>
    <xf numFmtId="37" fontId="6" fillId="0" borderId="7" xfId="0" applyNumberFormat="1" applyFont="1" applyBorder="1"/>
    <xf numFmtId="166" fontId="6" fillId="0" borderId="7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0" fillId="0" borderId="2" xfId="0" applyBorder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6" fontId="7" fillId="0" borderId="2" xfId="0" applyNumberFormat="1" applyFont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7" fontId="6" fillId="0" borderId="7" xfId="0" applyNumberFormat="1" applyFont="1" applyBorder="1" applyAlignment="1">
      <alignment vertical="center"/>
    </xf>
    <xf numFmtId="166" fontId="6" fillId="0" borderId="7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7" fontId="6" fillId="0" borderId="10" xfId="0" applyNumberFormat="1" applyFont="1" applyBorder="1" applyAlignment="1">
      <alignment horizontal="center" vertical="center" wrapText="1"/>
    </xf>
    <xf numFmtId="37" fontId="6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4" xfId="3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1" xfId="0" applyFont="1" applyBorder="1" applyAlignment="1">
      <alignment vertical="center"/>
    </xf>
    <xf numFmtId="37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37" fontId="6" fillId="0" borderId="7" xfId="0" applyNumberFormat="1" applyFont="1" applyBorder="1" applyAlignment="1">
      <alignment horizontal="center" vertical="center"/>
    </xf>
    <xf numFmtId="166" fontId="6" fillId="0" borderId="7" xfId="4" applyNumberFormat="1" applyFont="1" applyBorder="1" applyAlignment="1">
      <alignment horizontal="center" vertical="center"/>
    </xf>
    <xf numFmtId="166" fontId="6" fillId="0" borderId="8" xfId="4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6" fillId="0" borderId="2" xfId="4" applyNumberFormat="1" applyFont="1" applyBorder="1" applyAlignment="1">
      <alignment horizontal="center" vertical="center"/>
    </xf>
    <xf numFmtId="166" fontId="6" fillId="0" borderId="3" xfId="4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6" xfId="3" applyFont="1" applyBorder="1" applyAlignment="1">
      <alignment vertical="center"/>
    </xf>
    <xf numFmtId="37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37" fontId="6" fillId="0" borderId="0" xfId="0" applyNumberFormat="1" applyFont="1" applyAlignment="1" applyProtection="1">
      <alignment horizontal="center" vertical="center"/>
      <protection locked="0"/>
    </xf>
    <xf numFmtId="166" fontId="6" fillId="0" borderId="0" xfId="4" applyNumberFormat="1" applyFont="1" applyBorder="1" applyAlignment="1" applyProtection="1">
      <alignment horizontal="center" vertical="center"/>
      <protection locked="0"/>
    </xf>
    <xf numFmtId="37" fontId="0" fillId="0" borderId="7" xfId="0" applyNumberFormat="1" applyBorder="1"/>
    <xf numFmtId="166" fontId="0" fillId="0" borderId="7" xfId="0" applyNumberFormat="1" applyBorder="1"/>
    <xf numFmtId="0" fontId="10" fillId="0" borderId="4" xfId="0" quotePrefix="1" applyFont="1" applyBorder="1" applyAlignment="1">
      <alignment horizontal="center" vertical="center"/>
    </xf>
    <xf numFmtId="37" fontId="10" fillId="0" borderId="4" xfId="0" quotePrefix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6" fontId="6" fillId="0" borderId="7" xfId="4" applyNumberFormat="1" applyFont="1" applyBorder="1" applyAlignment="1" applyProtection="1">
      <alignment horizontal="center" vertical="center"/>
      <protection locked="0"/>
    </xf>
    <xf numFmtId="166" fontId="6" fillId="0" borderId="2" xfId="4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/>
    <xf numFmtId="0" fontId="6" fillId="0" borderId="10" xfId="0" applyFont="1" applyBorder="1"/>
    <xf numFmtId="0" fontId="7" fillId="0" borderId="6" xfId="0" applyFont="1" applyBorder="1" applyAlignment="1">
      <alignment horizontal="center" vertical="center"/>
    </xf>
    <xf numFmtId="37" fontId="6" fillId="0" borderId="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 wrapText="1"/>
    </xf>
    <xf numFmtId="37" fontId="10" fillId="0" borderId="4" xfId="0" applyNumberFormat="1" applyFont="1" applyBorder="1" applyAlignment="1">
      <alignment horizontal="center" vertical="center"/>
    </xf>
    <xf numFmtId="167" fontId="6" fillId="0" borderId="0" xfId="4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37" fontId="0" fillId="0" borderId="7" xfId="0" applyNumberFormat="1" applyBorder="1" applyAlignment="1">
      <alignment vertical="center"/>
    </xf>
    <xf numFmtId="166" fontId="0" fillId="0" borderId="7" xfId="0" applyNumberForma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37" fontId="7" fillId="0" borderId="7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5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8" fillId="0" borderId="0" xfId="5" applyFont="1" applyBorder="1" applyAlignment="1" applyProtection="1">
      <alignment horizontal="center" vertical="center" wrapText="1"/>
      <protection locked="0"/>
    </xf>
    <xf numFmtId="0" fontId="16" fillId="0" borderId="8" xfId="0" applyFont="1" applyBorder="1"/>
    <xf numFmtId="0" fontId="16" fillId="0" borderId="6" xfId="0" applyFont="1" applyBorder="1"/>
    <xf numFmtId="0" fontId="16" fillId="0" borderId="7" xfId="0" applyFont="1" applyBorder="1"/>
    <xf numFmtId="0" fontId="7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4" xfId="0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/>
    <xf numFmtId="37" fontId="5" fillId="0" borderId="7" xfId="0" applyNumberFormat="1" applyFont="1" applyBorder="1"/>
    <xf numFmtId="166" fontId="5" fillId="0" borderId="7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10" fontId="6" fillId="0" borderId="0" xfId="4" applyNumberFormat="1" applyFont="1" applyBorder="1" applyAlignment="1" applyProtection="1">
      <alignment horizontal="center" vertical="center"/>
      <protection locked="0"/>
    </xf>
    <xf numFmtId="10" fontId="6" fillId="0" borderId="0" xfId="4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/>
    <xf numFmtId="166" fontId="6" fillId="0" borderId="5" xfId="0" applyNumberFormat="1" applyFont="1" applyBorder="1" applyAlignment="1" applyProtection="1">
      <alignment horizontal="center" vertical="center"/>
      <protection locked="0"/>
    </xf>
    <xf numFmtId="166" fontId="5" fillId="0" borderId="8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 applyProtection="1">
      <alignment horizontal="center" vertical="center"/>
      <protection locked="0"/>
    </xf>
    <xf numFmtId="10" fontId="6" fillId="0" borderId="7" xfId="4" applyNumberFormat="1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2" xfId="4" applyNumberFormat="1" applyFont="1" applyBorder="1" applyAlignment="1" applyProtection="1">
      <alignment horizontal="center" vertical="center"/>
      <protection locked="0"/>
    </xf>
    <xf numFmtId="166" fontId="6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>
      <alignment horizontal="center" vertical="center"/>
    </xf>
    <xf numFmtId="37" fontId="10" fillId="0" borderId="4" xfId="2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7" fontId="16" fillId="0" borderId="4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0" fontId="20" fillId="0" borderId="0" xfId="5" applyFont="1" applyBorder="1" applyAlignment="1">
      <alignment horizontal="center" vertical="center" wrapText="1"/>
    </xf>
    <xf numFmtId="37" fontId="3" fillId="0" borderId="7" xfId="0" applyNumberFormat="1" applyFont="1" applyBorder="1" applyAlignment="1">
      <alignment horizontal="center" vertical="center"/>
    </xf>
    <xf numFmtId="37" fontId="7" fillId="0" borderId="2" xfId="0" applyNumberFormat="1" applyFont="1" applyBorder="1" applyAlignment="1">
      <alignment horizontal="center" vertical="center"/>
    </xf>
    <xf numFmtId="37" fontId="6" fillId="0" borderId="7" xfId="0" applyNumberFormat="1" applyFont="1" applyBorder="1" applyAlignment="1" applyProtection="1">
      <alignment horizontal="center" vertical="center"/>
      <protection locked="0"/>
    </xf>
    <xf numFmtId="37" fontId="6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37" fontId="20" fillId="0" borderId="4" xfId="5" applyNumberFormat="1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37" fontId="7" fillId="0" borderId="7" xfId="0" applyNumberFormat="1" applyFont="1" applyBorder="1"/>
    <xf numFmtId="166" fontId="7" fillId="0" borderId="0" xfId="0" applyNumberFormat="1" applyFont="1" applyAlignment="1">
      <alignment horizontal="center" wrapText="1"/>
    </xf>
    <xf numFmtId="164" fontId="6" fillId="0" borderId="0" xfId="0" applyNumberFormat="1" applyFont="1"/>
    <xf numFmtId="37" fontId="6" fillId="0" borderId="0" xfId="0" applyNumberFormat="1" applyFont="1" applyAlignment="1">
      <alignment horizontal="center"/>
    </xf>
    <xf numFmtId="3" fontId="14" fillId="0" borderId="0" xfId="0" applyNumberFormat="1" applyFont="1"/>
    <xf numFmtId="0" fontId="13" fillId="0" borderId="0" xfId="3" applyFont="1" applyAlignment="1">
      <alignment horizontal="center"/>
    </xf>
    <xf numFmtId="10" fontId="13" fillId="0" borderId="0" xfId="0" applyNumberFormat="1" applyFont="1"/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7" fontId="6" fillId="0" borderId="9" xfId="0" applyNumberFormat="1" applyFont="1" applyBorder="1" applyAlignment="1">
      <alignment horizontal="center" vertical="center" wrapText="1"/>
    </xf>
    <xf numFmtId="37" fontId="6" fillId="0" borderId="10" xfId="0" applyNumberFormat="1" applyFont="1" applyBorder="1" applyAlignment="1">
      <alignment horizontal="center" vertical="center" wrapText="1"/>
    </xf>
    <xf numFmtId="37" fontId="6" fillId="0" borderId="11" xfId="0" applyNumberFormat="1" applyFont="1" applyBorder="1" applyAlignment="1">
      <alignment horizontal="center" vertical="center" wrapText="1"/>
    </xf>
  </cellXfs>
  <cellStyles count="6">
    <cellStyle name="Hyperlink" xfId="5" builtinId="8"/>
    <cellStyle name="Normal" xfId="0" builtinId="0"/>
    <cellStyle name="Normal 24" xfId="1" xr:uid="{00000000-0005-0000-0000-000001000000}"/>
    <cellStyle name="Normal 3 3 2" xfId="2" xr:uid="{00000000-0005-0000-0000-000002000000}"/>
    <cellStyle name="Normal 58" xfId="3" xr:uid="{00000000-0005-0000-0000-000003000000}"/>
    <cellStyle name="Percent" xfId="4" builtinId="5"/>
  </cellStyles>
  <dxfs count="77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pane ySplit="5" topLeftCell="A6" activePane="bottomLeft" state="frozen"/>
      <selection activeCell="C30" sqref="C30"/>
      <selection pane="bottomLeft" activeCell="D23" sqref="D23"/>
    </sheetView>
  </sheetViews>
  <sheetFormatPr defaultColWidth="8.6640625" defaultRowHeight="15.6" x14ac:dyDescent="0.3"/>
  <cols>
    <col min="1" max="1" width="43.33203125" style="6" bestFit="1" customWidth="1"/>
    <col min="2" max="2" width="18.6640625" style="19" bestFit="1" customWidth="1"/>
    <col min="3" max="3" width="17.6640625" style="19" customWidth="1"/>
    <col min="4" max="4" width="18.6640625" style="19" bestFit="1" customWidth="1"/>
    <col min="5" max="5" width="18.44140625" style="7" customWidth="1"/>
    <col min="6" max="6" width="21.33203125" style="7" customWidth="1"/>
    <col min="7" max="7" width="19.44140625" style="46" customWidth="1"/>
    <col min="8" max="8" width="11.5546875" style="6" bestFit="1" customWidth="1"/>
    <col min="9" max="9" width="13.33203125" style="6" bestFit="1" customWidth="1"/>
    <col min="10" max="10" width="9.6640625" style="6" bestFit="1" customWidth="1"/>
    <col min="11" max="16384" width="8.6640625" style="6"/>
  </cols>
  <sheetData>
    <row r="1" spans="1:9" ht="15.75" customHeight="1" x14ac:dyDescent="0.3">
      <c r="A1" s="290" t="s">
        <v>0</v>
      </c>
      <c r="B1" s="290"/>
      <c r="C1" s="290"/>
      <c r="D1" s="290"/>
      <c r="E1" s="290"/>
      <c r="F1" s="290"/>
      <c r="G1" s="290"/>
    </row>
    <row r="2" spans="1:9" x14ac:dyDescent="0.3">
      <c r="A2" s="289" t="s">
        <v>1</v>
      </c>
      <c r="B2" s="289"/>
      <c r="C2" s="289"/>
      <c r="D2" s="289"/>
      <c r="E2" s="289"/>
      <c r="F2" s="289"/>
      <c r="G2" s="289"/>
    </row>
    <row r="3" spans="1:9" x14ac:dyDescent="0.3">
      <c r="A3" s="41" t="s">
        <v>922</v>
      </c>
      <c r="F3" s="74" t="s">
        <v>2</v>
      </c>
      <c r="G3" s="75" t="s">
        <v>3</v>
      </c>
    </row>
    <row r="4" spans="1:9" x14ac:dyDescent="0.3">
      <c r="F4" s="76">
        <v>2025</v>
      </c>
      <c r="G4" s="76">
        <v>2026</v>
      </c>
    </row>
    <row r="5" spans="1:9" ht="62.4" x14ac:dyDescent="0.3">
      <c r="A5" s="6" t="s">
        <v>4</v>
      </c>
      <c r="B5" s="73" t="str">
        <f>F4 &amp; " Budget"</f>
        <v>2025 Budget</v>
      </c>
      <c r="C5" s="73" t="str">
        <f>F4 &amp; " Year End Projection per Third Quarter Financials"</f>
        <v>2025 Year End Projection per Third Quarter Financials</v>
      </c>
      <c r="D5" s="73" t="s">
        <v>5</v>
      </c>
      <c r="E5" s="73" t="str">
        <f>G4 &amp; " Budget"</f>
        <v>2026 Budget</v>
      </c>
      <c r="F5" s="73" t="s">
        <v>6</v>
      </c>
      <c r="G5" s="283" t="s">
        <v>7</v>
      </c>
      <c r="I5" s="69"/>
    </row>
    <row r="6" spans="1:9" x14ac:dyDescent="0.3">
      <c r="C6" s="42"/>
    </row>
    <row r="7" spans="1:9" ht="15" x14ac:dyDescent="0.25">
      <c r="A7" s="6" t="s">
        <v>8</v>
      </c>
      <c r="B7" s="7">
        <f>'Bldg ByLaw Accts'!C120</f>
        <v>173256</v>
      </c>
      <c r="C7" s="7">
        <f>'Building ByLaw'!D26</f>
        <v>87613</v>
      </c>
      <c r="D7" s="7">
        <f>B7-C7</f>
        <v>85643</v>
      </c>
      <c r="E7" s="7">
        <f>'Bldg ByLaw Accts'!F120</f>
        <v>124545</v>
      </c>
      <c r="F7" s="7">
        <f>'Bldg ByLaw Accts'!G120</f>
        <v>-48711</v>
      </c>
      <c r="G7" s="46">
        <f>F7/B7</f>
        <v>-0.28115043634852471</v>
      </c>
      <c r="I7" s="7"/>
    </row>
    <row r="8" spans="1:9" x14ac:dyDescent="0.3">
      <c r="A8" s="41"/>
      <c r="B8" s="7"/>
      <c r="C8" s="7"/>
      <c r="D8" s="7"/>
    </row>
    <row r="9" spans="1:9" ht="15" x14ac:dyDescent="0.25">
      <c r="A9" s="6" t="s">
        <v>9</v>
      </c>
      <c r="B9" s="7">
        <f>'Cons Auth Accts'!C14</f>
        <v>98176</v>
      </c>
      <c r="C9" s="7">
        <f>'Crowe Valley'!D18</f>
        <v>98176</v>
      </c>
      <c r="D9" s="7">
        <f>B9-C9</f>
        <v>0</v>
      </c>
      <c r="E9" s="7">
        <f>'Cons Auth Accts'!F14</f>
        <v>100653</v>
      </c>
      <c r="F9" s="7">
        <f>'Cons Auth Accts'!G14</f>
        <v>2477</v>
      </c>
      <c r="G9" s="46">
        <f>F9/B9</f>
        <v>2.5230198826597133E-2</v>
      </c>
    </row>
    <row r="10" spans="1:9" x14ac:dyDescent="0.3">
      <c r="A10" s="41"/>
      <c r="B10" s="7"/>
    </row>
    <row r="11" spans="1:9" ht="15" x14ac:dyDescent="0.25">
      <c r="A11" s="6" t="s">
        <v>10</v>
      </c>
      <c r="B11" s="7">
        <f>'Emerg Planning Accts'!C27</f>
        <v>3080</v>
      </c>
      <c r="C11" s="7">
        <f>'Emergency Planning'!D22</f>
        <v>3080</v>
      </c>
      <c r="D11" s="7">
        <f>B11-C11</f>
        <v>0</v>
      </c>
      <c r="E11" s="7">
        <f>'Emerg Planning Accts'!F27</f>
        <v>3650</v>
      </c>
      <c r="F11" s="7">
        <f>'Emerg Planning Accts'!G27</f>
        <v>570</v>
      </c>
      <c r="G11" s="46">
        <f>F11/B11</f>
        <v>0.18506493506493507</v>
      </c>
    </row>
    <row r="12" spans="1:9" x14ac:dyDescent="0.3">
      <c r="A12" s="41"/>
      <c r="B12" s="7"/>
    </row>
    <row r="13" spans="1:9" ht="15" x14ac:dyDescent="0.25">
      <c r="A13" s="6" t="s">
        <v>11</v>
      </c>
      <c r="B13" s="7">
        <f>'Fire Accts'!C76</f>
        <v>594758</v>
      </c>
      <c r="C13" s="7">
        <f>Fire!D26</f>
        <v>632535</v>
      </c>
      <c r="D13" s="7">
        <f>B13-C13</f>
        <v>-37777</v>
      </c>
      <c r="E13" s="7">
        <f>'Fire Accts'!F76</f>
        <v>720648</v>
      </c>
      <c r="F13" s="7">
        <f>'Fire Accts'!G76</f>
        <v>125890</v>
      </c>
      <c r="G13" s="46">
        <f>F13/B13</f>
        <v>0.21166592126545586</v>
      </c>
    </row>
    <row r="14" spans="1:9" x14ac:dyDescent="0.3">
      <c r="A14" s="41"/>
      <c r="B14" s="7"/>
    </row>
    <row r="15" spans="1:9" ht="15" x14ac:dyDescent="0.25">
      <c r="A15" s="6" t="s">
        <v>12</v>
      </c>
      <c r="B15" s="7">
        <f>'Gen Gov''t Accts'!C111</f>
        <v>1483034</v>
      </c>
      <c r="C15" s="7">
        <f>'General Govt'!D36</f>
        <v>1564337</v>
      </c>
      <c r="D15" s="7">
        <f>B15-C15</f>
        <v>-81303</v>
      </c>
      <c r="E15" s="7">
        <f>'Gen Gov''t Accts'!F111</f>
        <v>1892925</v>
      </c>
      <c r="F15" s="7">
        <f>'Gen Gov''t Accts'!G111</f>
        <v>409891</v>
      </c>
      <c r="G15" s="46">
        <f>F15/B15</f>
        <v>0.27638678546816864</v>
      </c>
    </row>
    <row r="16" spans="1:9" x14ac:dyDescent="0.3">
      <c r="A16" s="41"/>
      <c r="B16" s="7"/>
    </row>
    <row r="17" spans="1:10" ht="15" x14ac:dyDescent="0.25">
      <c r="A17" s="6" t="s">
        <v>13</v>
      </c>
      <c r="B17" s="7">
        <f>'Health Accts'!C28</f>
        <v>5796</v>
      </c>
      <c r="C17" s="7">
        <f>Health!D23</f>
        <v>6796</v>
      </c>
      <c r="D17" s="7">
        <f>B17-C17</f>
        <v>-1000</v>
      </c>
      <c r="E17" s="7">
        <f>'Health Accts'!F28</f>
        <v>4708</v>
      </c>
      <c r="F17" s="7">
        <f>'Health Accts'!G28</f>
        <v>-1088</v>
      </c>
      <c r="G17" s="46">
        <f>F17/B17</f>
        <v>-0.18771566597653555</v>
      </c>
      <c r="J17" s="69"/>
    </row>
    <row r="18" spans="1:10" x14ac:dyDescent="0.3">
      <c r="A18" s="41"/>
      <c r="B18" s="7"/>
      <c r="I18" s="7"/>
    </row>
    <row r="19" spans="1:10" ht="15" x14ac:dyDescent="0.25">
      <c r="A19" s="6" t="s">
        <v>14</v>
      </c>
      <c r="B19" s="7">
        <f>'Library Accts'!C71</f>
        <v>317658</v>
      </c>
      <c r="C19" s="7">
        <f>Library!D27</f>
        <v>317658</v>
      </c>
      <c r="D19" s="7">
        <f>B19-C19</f>
        <v>0</v>
      </c>
      <c r="E19" s="7">
        <f>'Library Accts'!F71</f>
        <v>321629</v>
      </c>
      <c r="F19" s="7">
        <f>'Library Accts'!G71</f>
        <v>3971</v>
      </c>
      <c r="G19" s="46">
        <f>F19/B19</f>
        <v>1.2500865710921809E-2</v>
      </c>
      <c r="J19" s="69"/>
    </row>
    <row r="20" spans="1:10" x14ac:dyDescent="0.3">
      <c r="A20" s="41"/>
      <c r="B20" s="7"/>
    </row>
    <row r="21" spans="1:10" ht="15" x14ac:dyDescent="0.25">
      <c r="A21" s="6" t="s">
        <v>15</v>
      </c>
      <c r="B21" s="7">
        <f>'Parks and Rec Accts'!C107</f>
        <v>960376</v>
      </c>
      <c r="C21" s="7">
        <f>'Parks and Rec'!D34</f>
        <v>1008276</v>
      </c>
      <c r="D21" s="7">
        <f>B21-C21</f>
        <v>-47900</v>
      </c>
      <c r="E21" s="7">
        <f>'Parks and Rec Accts'!F107</f>
        <v>1073846</v>
      </c>
      <c r="F21" s="7">
        <f>'Parks and Rec Accts'!G107</f>
        <v>113470</v>
      </c>
      <c r="G21" s="46">
        <f>F21/B21</f>
        <v>0.11815164060742876</v>
      </c>
    </row>
    <row r="22" spans="1:10" x14ac:dyDescent="0.3">
      <c r="A22" s="41"/>
      <c r="B22" s="7"/>
    </row>
    <row r="23" spans="1:10" ht="15" x14ac:dyDescent="0.25">
      <c r="A23" s="6" t="s">
        <v>16</v>
      </c>
      <c r="B23" s="7">
        <f>'Planning Accts'!C51</f>
        <v>253646</v>
      </c>
      <c r="C23" s="7">
        <f>Planning!D25</f>
        <v>171860</v>
      </c>
      <c r="D23" s="7">
        <f>B23-C23</f>
        <v>81786</v>
      </c>
      <c r="E23" s="7">
        <f>'Planning Accts'!F51</f>
        <v>103506</v>
      </c>
      <c r="F23" s="7">
        <f>'Planning Accts'!G51</f>
        <v>-150140</v>
      </c>
      <c r="G23" s="46">
        <f>F23/B23</f>
        <v>-0.59192733179312895</v>
      </c>
    </row>
    <row r="24" spans="1:10" x14ac:dyDescent="0.3">
      <c r="A24" s="41"/>
      <c r="B24" s="7"/>
    </row>
    <row r="25" spans="1:10" ht="15" x14ac:dyDescent="0.25">
      <c r="A25" s="6" t="s">
        <v>17</v>
      </c>
      <c r="B25" s="7">
        <f>'Police Services Accts'!C38</f>
        <v>943601</v>
      </c>
      <c r="C25" s="7">
        <f>Policing!D27</f>
        <v>939909</v>
      </c>
      <c r="D25" s="7">
        <f>B25-C25</f>
        <v>3692</v>
      </c>
      <c r="E25" s="7">
        <f>'Police Services Accts'!F38</f>
        <v>1041353.9999999999</v>
      </c>
      <c r="F25" s="7">
        <f>'Police Services Accts'!G38</f>
        <v>97753</v>
      </c>
      <c r="G25" s="46">
        <f>F25/B25</f>
        <v>0.10359569351876481</v>
      </c>
    </row>
    <row r="26" spans="1:10" x14ac:dyDescent="0.3">
      <c r="A26" s="41"/>
      <c r="B26" s="7"/>
    </row>
    <row r="27" spans="1:10" ht="15" x14ac:dyDescent="0.25">
      <c r="A27" s="6" t="s">
        <v>923</v>
      </c>
      <c r="B27" s="7">
        <f>'Public Works Accts'!C67</f>
        <v>1676565</v>
      </c>
      <c r="C27" s="7">
        <f>'Public Works'!D32</f>
        <v>1656948</v>
      </c>
      <c r="D27" s="7">
        <f>B27-C27</f>
        <v>19617</v>
      </c>
      <c r="E27" s="7">
        <f>'Public Works Accts'!F67</f>
        <v>1727439</v>
      </c>
      <c r="F27" s="7">
        <f>'Public Works Accts'!G67</f>
        <v>50874</v>
      </c>
      <c r="G27" s="46">
        <f>F27/B27</f>
        <v>3.0344185880058334E-2</v>
      </c>
    </row>
    <row r="28" spans="1:10" x14ac:dyDescent="0.3">
      <c r="A28" s="41"/>
      <c r="B28" s="7"/>
      <c r="I28" s="72"/>
      <c r="J28" s="284"/>
    </row>
    <row r="29" spans="1:10" ht="15" x14ac:dyDescent="0.25">
      <c r="A29" s="6" t="s">
        <v>19</v>
      </c>
      <c r="B29" s="7">
        <f>'Waste Accts'!C58</f>
        <v>578473</v>
      </c>
      <c r="C29" s="7">
        <f>Waste!D25</f>
        <v>607473</v>
      </c>
      <c r="D29" s="7">
        <f>B29-C29</f>
        <v>-29000</v>
      </c>
      <c r="E29" s="7">
        <f>'Waste Accts'!F58</f>
        <v>638084</v>
      </c>
      <c r="F29" s="7">
        <f>'Waste Accts'!G58</f>
        <v>59611</v>
      </c>
      <c r="G29" s="46">
        <f>F29/B29</f>
        <v>0.10304888905791627</v>
      </c>
      <c r="I29" s="7"/>
    </row>
    <row r="30" spans="1:10" ht="15" x14ac:dyDescent="0.25">
      <c r="B30" s="7"/>
      <c r="C30" s="7"/>
      <c r="D30" s="7"/>
      <c r="J30" s="69"/>
    </row>
    <row r="31" spans="1:10" ht="15" x14ac:dyDescent="0.25">
      <c r="A31" s="6" t="s">
        <v>20</v>
      </c>
      <c r="B31" s="7">
        <f>SUM(B7:B30)</f>
        <v>7088419</v>
      </c>
      <c r="C31" s="7">
        <f>SUM(C7:C30)</f>
        <v>7094661</v>
      </c>
      <c r="D31" s="7">
        <f>SUM(D7:D30)</f>
        <v>-6242</v>
      </c>
      <c r="E31" s="51">
        <f>SUM(E7:E30)</f>
        <v>7752987</v>
      </c>
      <c r="F31" s="7">
        <f>SUM(F7:F30)</f>
        <v>664568</v>
      </c>
      <c r="G31" s="72">
        <f>F31/B31</f>
        <v>9.3754051502880964E-2</v>
      </c>
      <c r="H31" s="72"/>
      <c r="I31" s="72"/>
    </row>
    <row r="32" spans="1:10" ht="15" x14ac:dyDescent="0.25">
      <c r="B32" s="7"/>
      <c r="C32" s="7"/>
      <c r="D32" s="7"/>
      <c r="E32" s="51"/>
      <c r="G32" s="72"/>
      <c r="H32" s="72"/>
      <c r="I32" s="72"/>
    </row>
    <row r="33" spans="1:7" ht="15" x14ac:dyDescent="0.25">
      <c r="A33" s="69" t="s">
        <v>933</v>
      </c>
      <c r="B33" s="43"/>
      <c r="C33" s="43"/>
      <c r="D33" s="43"/>
      <c r="E33" s="43">
        <v>-311000</v>
      </c>
      <c r="F33" s="43"/>
      <c r="G33" s="288"/>
    </row>
    <row r="34" spans="1:7" ht="15" x14ac:dyDescent="0.25">
      <c r="A34" s="69" t="s">
        <v>20</v>
      </c>
      <c r="B34" s="43">
        <v>7088419</v>
      </c>
      <c r="C34" s="43">
        <v>7094661</v>
      </c>
      <c r="D34" s="43">
        <v>-6242</v>
      </c>
      <c r="E34" s="43">
        <f>SUM(E31:E33)</f>
        <v>7441987</v>
      </c>
      <c r="F34" s="43">
        <f>E34-B34</f>
        <v>353568</v>
      </c>
      <c r="G34" s="288">
        <f>F34/B34</f>
        <v>4.9879669923575343E-2</v>
      </c>
    </row>
    <row r="35" spans="1:7" x14ac:dyDescent="0.3">
      <c r="G35" s="72"/>
    </row>
    <row r="36" spans="1:7" x14ac:dyDescent="0.3">
      <c r="G36" s="72"/>
    </row>
    <row r="37" spans="1:7" x14ac:dyDescent="0.3">
      <c r="G37" s="72"/>
    </row>
    <row r="38" spans="1:7" x14ac:dyDescent="0.3">
      <c r="G38" s="72"/>
    </row>
    <row r="39" spans="1:7" x14ac:dyDescent="0.3">
      <c r="G39" s="72"/>
    </row>
    <row r="40" spans="1:7" x14ac:dyDescent="0.3">
      <c r="G40" s="72"/>
    </row>
    <row r="41" spans="1:7" x14ac:dyDescent="0.3">
      <c r="G41" s="72"/>
    </row>
    <row r="47" spans="1:7" x14ac:dyDescent="0.3">
      <c r="G47" s="72"/>
    </row>
  </sheetData>
  <mergeCells count="2">
    <mergeCell ref="A2:G2"/>
    <mergeCell ref="A1:G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scale="85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K54"/>
  <sheetViews>
    <sheetView workbookViewId="0">
      <pane ySplit="3" topLeftCell="A4" activePane="bottomLeft" state="frozen"/>
      <selection activeCell="F52" sqref="F52"/>
      <selection pane="bottomLeft" activeCell="F11" sqref="F11"/>
    </sheetView>
  </sheetViews>
  <sheetFormatPr defaultRowHeight="13.2" x14ac:dyDescent="0.25"/>
  <cols>
    <col min="1" max="1" width="21.6640625" customWidth="1"/>
    <col min="2" max="2" width="31.33203125" customWidth="1"/>
    <col min="3" max="3" width="13.6640625" style="2" customWidth="1"/>
    <col min="4" max="4" width="18" style="2" customWidth="1"/>
    <col min="5" max="7" width="13.6640625" style="2" customWidth="1"/>
    <col min="8" max="8" width="13.6640625" style="47" customWidth="1"/>
    <col min="9" max="9" width="16.6640625" style="47" customWidth="1"/>
  </cols>
  <sheetData>
    <row r="1" spans="1:10" ht="22.5" customHeight="1" x14ac:dyDescent="0.3">
      <c r="A1" s="289" t="s">
        <v>16</v>
      </c>
      <c r="B1" s="289"/>
      <c r="C1" s="289"/>
      <c r="D1" s="289"/>
      <c r="E1" s="289"/>
      <c r="F1" s="289"/>
      <c r="G1" s="289"/>
      <c r="H1" s="50"/>
      <c r="I1" s="46"/>
    </row>
    <row r="2" spans="1:10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10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0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10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10" ht="15" x14ac:dyDescent="0.25">
      <c r="A6" s="6"/>
      <c r="B6" s="6"/>
      <c r="C6" s="7"/>
      <c r="D6" s="7"/>
      <c r="E6" s="7"/>
      <c r="F6" s="7"/>
      <c r="G6" s="7"/>
      <c r="H6" s="46"/>
      <c r="I6" s="46"/>
    </row>
    <row r="7" spans="1:10" ht="15" x14ac:dyDescent="0.25">
      <c r="A7" s="10" t="s">
        <v>703</v>
      </c>
      <c r="B7" s="6" t="s">
        <v>44</v>
      </c>
      <c r="C7" s="7">
        <v>0</v>
      </c>
      <c r="D7" s="7"/>
      <c r="E7" s="7">
        <f t="shared" ref="E7:E12" si="0">C7-D7</f>
        <v>0</v>
      </c>
      <c r="F7" s="7"/>
      <c r="G7" s="7">
        <f t="shared" ref="G7:G12" si="1">F7-C7</f>
        <v>0</v>
      </c>
      <c r="H7" s="58" t="e">
        <f t="shared" ref="H7:H12" si="2">F7/C7</f>
        <v>#DIV/0!</v>
      </c>
      <c r="I7" s="58" t="e">
        <f t="shared" ref="I7:I12" si="3">F7/D7</f>
        <v>#DIV/0!</v>
      </c>
    </row>
    <row r="8" spans="1:10" ht="15" x14ac:dyDescent="0.25">
      <c r="A8" s="10" t="s">
        <v>704</v>
      </c>
      <c r="B8" s="6" t="s">
        <v>46</v>
      </c>
      <c r="C8" s="7">
        <v>0</v>
      </c>
      <c r="D8" s="7"/>
      <c r="E8" s="7">
        <f t="shared" si="0"/>
        <v>0</v>
      </c>
      <c r="F8" s="7"/>
      <c r="G8" s="7">
        <f t="shared" si="1"/>
        <v>0</v>
      </c>
      <c r="H8" s="58" t="e">
        <f t="shared" si="2"/>
        <v>#DIV/0!</v>
      </c>
      <c r="I8" s="58" t="e">
        <f t="shared" si="3"/>
        <v>#DIV/0!</v>
      </c>
    </row>
    <row r="9" spans="1:10" ht="15" x14ac:dyDescent="0.25">
      <c r="A9" s="22" t="s">
        <v>705</v>
      </c>
      <c r="B9" s="6" t="s">
        <v>706</v>
      </c>
      <c r="C9" s="7">
        <v>-63250</v>
      </c>
      <c r="D9" s="7"/>
      <c r="E9" s="7">
        <f t="shared" si="0"/>
        <v>-63250</v>
      </c>
      <c r="F9" s="7">
        <v>-55000</v>
      </c>
      <c r="G9" s="7">
        <f t="shared" si="1"/>
        <v>8250</v>
      </c>
      <c r="H9" s="48">
        <f t="shared" si="2"/>
        <v>0.86956521739130432</v>
      </c>
      <c r="I9" s="48" t="e">
        <f t="shared" si="3"/>
        <v>#DIV/0!</v>
      </c>
    </row>
    <row r="10" spans="1:10" ht="15" x14ac:dyDescent="0.25">
      <c r="A10" s="22" t="s">
        <v>707</v>
      </c>
      <c r="B10" s="6" t="s">
        <v>28</v>
      </c>
      <c r="C10" s="7">
        <v>0</v>
      </c>
      <c r="D10" s="7"/>
      <c r="E10" s="7">
        <f t="shared" si="0"/>
        <v>0</v>
      </c>
      <c r="F10" s="7"/>
      <c r="G10" s="7">
        <f t="shared" si="1"/>
        <v>0</v>
      </c>
      <c r="H10" s="48" t="e">
        <f t="shared" si="2"/>
        <v>#DIV/0!</v>
      </c>
      <c r="I10" s="48" t="e">
        <f t="shared" si="3"/>
        <v>#DIV/0!</v>
      </c>
    </row>
    <row r="11" spans="1:10" ht="15" x14ac:dyDescent="0.25">
      <c r="A11" s="22" t="s">
        <v>932</v>
      </c>
      <c r="B11" s="6" t="s">
        <v>30</v>
      </c>
      <c r="C11" s="7">
        <v>0</v>
      </c>
      <c r="D11" s="7"/>
      <c r="E11" s="7">
        <f t="shared" si="0"/>
        <v>0</v>
      </c>
      <c r="F11" s="7">
        <v>-3500</v>
      </c>
      <c r="G11" s="7">
        <f t="shared" si="1"/>
        <v>-3500</v>
      </c>
      <c r="H11" s="48" t="e">
        <f t="shared" si="2"/>
        <v>#DIV/0!</v>
      </c>
      <c r="I11" s="48" t="e">
        <f t="shared" si="3"/>
        <v>#DIV/0!</v>
      </c>
    </row>
    <row r="12" spans="1:10" ht="15" x14ac:dyDescent="0.25">
      <c r="A12" s="10" t="s">
        <v>708</v>
      </c>
      <c r="B12" s="6" t="s">
        <v>38</v>
      </c>
      <c r="C12" s="7">
        <v>-18000</v>
      </c>
      <c r="D12" s="7"/>
      <c r="E12" s="7">
        <f t="shared" si="0"/>
        <v>-18000</v>
      </c>
      <c r="F12" s="7">
        <v>-80000</v>
      </c>
      <c r="G12" s="7">
        <f t="shared" si="1"/>
        <v>-62000</v>
      </c>
      <c r="H12" s="48">
        <f t="shared" si="2"/>
        <v>4.4444444444444446</v>
      </c>
      <c r="I12" s="48" t="e">
        <f t="shared" si="3"/>
        <v>#DIV/0!</v>
      </c>
      <c r="J12" s="57"/>
    </row>
    <row r="13" spans="1:10" ht="15" x14ac:dyDescent="0.25">
      <c r="A13" s="10"/>
      <c r="B13" s="6"/>
      <c r="C13" s="7"/>
      <c r="D13" s="7"/>
      <c r="E13" s="7"/>
      <c r="F13" s="7"/>
      <c r="G13" s="7"/>
      <c r="H13" s="48"/>
      <c r="I13" s="48"/>
      <c r="J13" s="57"/>
    </row>
    <row r="14" spans="1:10" ht="15" x14ac:dyDescent="0.25">
      <c r="A14" s="10" t="s">
        <v>22</v>
      </c>
      <c r="B14" s="6"/>
      <c r="C14" s="7">
        <f>SUM(C8:C12)</f>
        <v>-81250</v>
      </c>
      <c r="D14" s="7">
        <f>SUM(D8:D12)</f>
        <v>0</v>
      </c>
      <c r="E14" s="7">
        <f>SUM(E8:E12)</f>
        <v>-81250</v>
      </c>
      <c r="F14" s="7">
        <f>SUM(F8:F12)</f>
        <v>-138500</v>
      </c>
      <c r="G14" s="7">
        <f>SUM(G8:G12)</f>
        <v>-57250</v>
      </c>
      <c r="H14" s="48">
        <f>F14/C14</f>
        <v>1.7046153846153846</v>
      </c>
      <c r="I14" s="48" t="e">
        <f>F14/D14</f>
        <v>#DIV/0!</v>
      </c>
    </row>
    <row r="15" spans="1:10" ht="15" x14ac:dyDescent="0.25">
      <c r="A15" s="6"/>
      <c r="B15" s="6"/>
      <c r="C15" s="7"/>
      <c r="D15" s="7"/>
      <c r="E15" s="7"/>
      <c r="F15" s="7"/>
      <c r="G15" s="7"/>
      <c r="H15" s="48"/>
      <c r="I15" s="48"/>
    </row>
    <row r="16" spans="1:10" ht="15" x14ac:dyDescent="0.25">
      <c r="A16" s="10" t="s">
        <v>50</v>
      </c>
      <c r="B16" s="6"/>
      <c r="C16" s="7"/>
      <c r="D16" s="7"/>
      <c r="E16" s="7"/>
      <c r="F16" s="7"/>
      <c r="G16" s="7"/>
      <c r="H16" s="48"/>
      <c r="I16" s="48"/>
    </row>
    <row r="17" spans="1:11" ht="15" x14ac:dyDescent="0.25">
      <c r="A17" s="6"/>
      <c r="B17" s="6"/>
      <c r="C17" s="7"/>
      <c r="D17" s="7"/>
      <c r="E17" s="7"/>
      <c r="F17" s="7"/>
      <c r="G17" s="7"/>
      <c r="H17" s="48"/>
      <c r="I17" s="48"/>
    </row>
    <row r="18" spans="1:11" ht="15" x14ac:dyDescent="0.25">
      <c r="A18" s="10" t="s">
        <v>709</v>
      </c>
      <c r="B18" s="6" t="s">
        <v>53</v>
      </c>
      <c r="C18" s="7">
        <v>181037</v>
      </c>
      <c r="D18" s="7"/>
      <c r="E18" s="7">
        <f t="shared" ref="E18:E25" si="4">C18-D18</f>
        <v>181037</v>
      </c>
      <c r="F18" s="7">
        <v>46693</v>
      </c>
      <c r="G18" s="7">
        <f t="shared" ref="G18:G24" si="5">F18-C18</f>
        <v>-134344</v>
      </c>
      <c r="H18" s="48">
        <f>F18/C18</f>
        <v>0.25791965178388948</v>
      </c>
      <c r="I18" s="48" t="e">
        <f>F18/D18</f>
        <v>#DIV/0!</v>
      </c>
      <c r="K18" s="2"/>
    </row>
    <row r="19" spans="1:11" ht="15" x14ac:dyDescent="0.25">
      <c r="A19" s="10" t="s">
        <v>710</v>
      </c>
      <c r="B19" s="6" t="s">
        <v>711</v>
      </c>
      <c r="C19" s="7">
        <v>0</v>
      </c>
      <c r="D19" s="7"/>
      <c r="E19" s="7">
        <f t="shared" si="4"/>
        <v>0</v>
      </c>
      <c r="F19" s="7"/>
      <c r="G19" s="7">
        <f t="shared" si="5"/>
        <v>0</v>
      </c>
      <c r="H19" s="48" t="e">
        <f>F19/C19</f>
        <v>#DIV/0!</v>
      </c>
      <c r="I19" s="48" t="e">
        <f>F19/D19</f>
        <v>#DIV/0!</v>
      </c>
      <c r="K19" s="2"/>
    </row>
    <row r="20" spans="1:11" ht="15" x14ac:dyDescent="0.25">
      <c r="A20" s="10" t="s">
        <v>712</v>
      </c>
      <c r="B20" s="6" t="s">
        <v>122</v>
      </c>
      <c r="C20" s="7">
        <v>11397</v>
      </c>
      <c r="D20" s="7"/>
      <c r="E20" s="7">
        <f t="shared" si="4"/>
        <v>11397</v>
      </c>
      <c r="F20" s="7">
        <v>3165</v>
      </c>
      <c r="G20" s="7">
        <f t="shared" si="5"/>
        <v>-8232</v>
      </c>
      <c r="H20" s="48">
        <f t="shared" ref="H20:H47" si="6">F20/C20</f>
        <v>0.27770465912082126</v>
      </c>
      <c r="I20" s="48" t="e">
        <f t="shared" ref="I20:I47" si="7">F20/D20</f>
        <v>#DIV/0!</v>
      </c>
    </row>
    <row r="21" spans="1:11" ht="15" x14ac:dyDescent="0.25">
      <c r="A21" s="10" t="s">
        <v>713</v>
      </c>
      <c r="B21" s="6" t="s">
        <v>59</v>
      </c>
      <c r="C21" s="7">
        <v>3531</v>
      </c>
      <c r="D21" s="7"/>
      <c r="E21" s="7">
        <f t="shared" si="4"/>
        <v>3531</v>
      </c>
      <c r="F21" s="7">
        <v>750</v>
      </c>
      <c r="G21" s="7">
        <f t="shared" si="5"/>
        <v>-2781</v>
      </c>
      <c r="H21" s="48">
        <f t="shared" si="6"/>
        <v>0.21240441801189464</v>
      </c>
      <c r="I21" s="48" t="e">
        <f t="shared" si="7"/>
        <v>#DIV/0!</v>
      </c>
    </row>
    <row r="22" spans="1:11" ht="15" x14ac:dyDescent="0.25">
      <c r="A22" s="10" t="s">
        <v>714</v>
      </c>
      <c r="B22" s="6" t="s">
        <v>61</v>
      </c>
      <c r="C22" s="7">
        <v>5595</v>
      </c>
      <c r="D22" s="7"/>
      <c r="E22" s="7">
        <f t="shared" si="4"/>
        <v>5595</v>
      </c>
      <c r="F22" s="7">
        <v>1456</v>
      </c>
      <c r="G22" s="7">
        <f t="shared" si="5"/>
        <v>-4139</v>
      </c>
      <c r="H22" s="48">
        <f t="shared" si="6"/>
        <v>0.26023235031277925</v>
      </c>
      <c r="I22" s="48" t="e">
        <f t="shared" si="7"/>
        <v>#DIV/0!</v>
      </c>
    </row>
    <row r="23" spans="1:11" ht="15" x14ac:dyDescent="0.25">
      <c r="A23" s="10" t="s">
        <v>715</v>
      </c>
      <c r="B23" s="6" t="s">
        <v>63</v>
      </c>
      <c r="C23" s="7">
        <v>18446</v>
      </c>
      <c r="D23" s="7"/>
      <c r="E23" s="7">
        <f t="shared" si="4"/>
        <v>18446</v>
      </c>
      <c r="F23" s="7">
        <v>4494</v>
      </c>
      <c r="G23" s="7">
        <f t="shared" si="5"/>
        <v>-13952</v>
      </c>
      <c r="H23" s="48">
        <f t="shared" si="6"/>
        <v>0.24363005529654125</v>
      </c>
      <c r="I23" s="48" t="e">
        <f t="shared" si="7"/>
        <v>#DIV/0!</v>
      </c>
    </row>
    <row r="24" spans="1:11" ht="15" x14ac:dyDescent="0.25">
      <c r="A24" s="10" t="s">
        <v>716</v>
      </c>
      <c r="B24" s="6" t="s">
        <v>65</v>
      </c>
      <c r="C24" s="7">
        <v>19594</v>
      </c>
      <c r="D24" s="7"/>
      <c r="E24" s="7">
        <f t="shared" si="4"/>
        <v>19594</v>
      </c>
      <c r="F24" s="7">
        <v>4535</v>
      </c>
      <c r="G24" s="7">
        <f t="shared" si="5"/>
        <v>-15059</v>
      </c>
      <c r="H24" s="48">
        <f t="shared" si="6"/>
        <v>0.23144840257221599</v>
      </c>
      <c r="I24" s="48" t="e">
        <f t="shared" si="7"/>
        <v>#DIV/0!</v>
      </c>
      <c r="J24" s="2"/>
    </row>
    <row r="25" spans="1:11" ht="15" x14ac:dyDescent="0.25">
      <c r="A25" s="10" t="s">
        <v>717</v>
      </c>
      <c r="B25" s="6" t="s">
        <v>69</v>
      </c>
      <c r="C25" s="7">
        <v>500</v>
      </c>
      <c r="D25" s="7"/>
      <c r="E25" s="7">
        <f t="shared" si="4"/>
        <v>500</v>
      </c>
      <c r="F25" s="7"/>
      <c r="G25" s="7">
        <f t="shared" ref="G25:G47" si="8">F25-C25</f>
        <v>-500</v>
      </c>
      <c r="H25" s="48">
        <f t="shared" si="6"/>
        <v>0</v>
      </c>
      <c r="I25" s="48" t="e">
        <f t="shared" si="7"/>
        <v>#DIV/0!</v>
      </c>
      <c r="J25" s="2"/>
    </row>
    <row r="26" spans="1:11" ht="15" x14ac:dyDescent="0.25">
      <c r="A26" s="26" t="s">
        <v>718</v>
      </c>
      <c r="B26" s="6" t="s">
        <v>71</v>
      </c>
      <c r="C26" s="7">
        <v>300</v>
      </c>
      <c r="D26" s="7"/>
      <c r="E26" s="7">
        <f t="shared" ref="E26:E47" si="9">C26-D26</f>
        <v>300</v>
      </c>
      <c r="F26" s="7"/>
      <c r="G26" s="7">
        <f t="shared" si="8"/>
        <v>-300</v>
      </c>
      <c r="H26" s="58">
        <f t="shared" si="6"/>
        <v>0</v>
      </c>
      <c r="I26" s="58" t="e">
        <f t="shared" si="7"/>
        <v>#DIV/0!</v>
      </c>
    </row>
    <row r="27" spans="1:11" ht="15" x14ac:dyDescent="0.25">
      <c r="A27" s="26" t="s">
        <v>719</v>
      </c>
      <c r="B27" s="6" t="s">
        <v>73</v>
      </c>
      <c r="C27" s="7">
        <v>1220</v>
      </c>
      <c r="D27" s="7"/>
      <c r="E27" s="7">
        <f t="shared" si="9"/>
        <v>1220</v>
      </c>
      <c r="F27" s="7"/>
      <c r="G27" s="7">
        <f t="shared" si="8"/>
        <v>-1220</v>
      </c>
      <c r="H27" s="58">
        <f t="shared" si="6"/>
        <v>0</v>
      </c>
      <c r="I27" s="58"/>
    </row>
    <row r="28" spans="1:11" ht="15" x14ac:dyDescent="0.25">
      <c r="A28" s="26" t="s">
        <v>720</v>
      </c>
      <c r="B28" s="6" t="s">
        <v>227</v>
      </c>
      <c r="C28" s="7">
        <v>1400</v>
      </c>
      <c r="D28" s="7"/>
      <c r="E28" s="7">
        <f t="shared" si="9"/>
        <v>1400</v>
      </c>
      <c r="F28" s="7"/>
      <c r="G28" s="7">
        <f t="shared" si="8"/>
        <v>-1400</v>
      </c>
      <c r="H28" s="48">
        <f t="shared" si="6"/>
        <v>0</v>
      </c>
      <c r="I28" s="48" t="e">
        <f t="shared" si="7"/>
        <v>#DIV/0!</v>
      </c>
    </row>
    <row r="29" spans="1:11" ht="15" x14ac:dyDescent="0.25">
      <c r="A29" s="26" t="s">
        <v>721</v>
      </c>
      <c r="B29" s="6" t="s">
        <v>77</v>
      </c>
      <c r="C29" s="7">
        <v>385</v>
      </c>
      <c r="D29" s="7"/>
      <c r="E29" s="7">
        <f t="shared" si="9"/>
        <v>385</v>
      </c>
      <c r="F29" s="7"/>
      <c r="G29" s="7">
        <f t="shared" si="8"/>
        <v>-385</v>
      </c>
      <c r="H29" s="48">
        <f t="shared" si="6"/>
        <v>0</v>
      </c>
      <c r="I29" s="48" t="e">
        <f t="shared" si="7"/>
        <v>#DIV/0!</v>
      </c>
    </row>
    <row r="30" spans="1:11" ht="15" x14ac:dyDescent="0.25">
      <c r="A30" s="26" t="s">
        <v>722</v>
      </c>
      <c r="B30" s="6" t="s">
        <v>79</v>
      </c>
      <c r="C30" s="7">
        <v>1050</v>
      </c>
      <c r="D30" s="7"/>
      <c r="E30" s="7">
        <f t="shared" si="9"/>
        <v>1050</v>
      </c>
      <c r="F30" s="7">
        <v>480</v>
      </c>
      <c r="G30" s="7">
        <f t="shared" si="8"/>
        <v>-570</v>
      </c>
      <c r="H30" s="48">
        <f t="shared" si="6"/>
        <v>0.45714285714285713</v>
      </c>
      <c r="I30" s="48" t="e">
        <f t="shared" si="7"/>
        <v>#DIV/0!</v>
      </c>
    </row>
    <row r="31" spans="1:11" ht="15" x14ac:dyDescent="0.25">
      <c r="A31" s="26" t="s">
        <v>723</v>
      </c>
      <c r="B31" s="6" t="s">
        <v>926</v>
      </c>
      <c r="C31" s="7">
        <v>1705</v>
      </c>
      <c r="D31" s="7"/>
      <c r="E31" s="7">
        <f t="shared" si="9"/>
        <v>1705</v>
      </c>
      <c r="F31" s="7">
        <v>0</v>
      </c>
      <c r="G31" s="7">
        <f t="shared" si="8"/>
        <v>-1705</v>
      </c>
      <c r="H31" s="48">
        <f t="shared" si="6"/>
        <v>0</v>
      </c>
      <c r="I31" s="48" t="e">
        <f t="shared" si="7"/>
        <v>#DIV/0!</v>
      </c>
    </row>
    <row r="32" spans="1:11" ht="15" x14ac:dyDescent="0.25">
      <c r="A32" s="26" t="s">
        <v>928</v>
      </c>
      <c r="B32" s="6" t="s">
        <v>929</v>
      </c>
      <c r="C32" s="7">
        <v>0</v>
      </c>
      <c r="D32" s="7"/>
      <c r="E32" s="7">
        <f t="shared" si="9"/>
        <v>0</v>
      </c>
      <c r="F32" s="7">
        <v>820</v>
      </c>
      <c r="G32" s="7">
        <f t="shared" ref="G32" si="10">F32-C32</f>
        <v>820</v>
      </c>
      <c r="H32" s="48" t="e">
        <f t="shared" ref="H32" si="11">F32/C32</f>
        <v>#DIV/0!</v>
      </c>
      <c r="I32" s="48" t="e">
        <f t="shared" ref="I32" si="12">F32/D32</f>
        <v>#DIV/0!</v>
      </c>
    </row>
    <row r="33" spans="1:10" ht="15" x14ac:dyDescent="0.25">
      <c r="A33" s="287" t="s">
        <v>724</v>
      </c>
      <c r="B33" s="69" t="s">
        <v>927</v>
      </c>
      <c r="C33" s="7">
        <v>1115</v>
      </c>
      <c r="D33" s="7"/>
      <c r="E33" s="7">
        <f t="shared" si="9"/>
        <v>1115</v>
      </c>
      <c r="F33" s="43">
        <v>260</v>
      </c>
      <c r="G33" s="7">
        <f t="shared" si="8"/>
        <v>-855</v>
      </c>
      <c r="H33" s="48">
        <f t="shared" si="6"/>
        <v>0.23318385650224216</v>
      </c>
      <c r="I33" s="48" t="e">
        <f t="shared" si="7"/>
        <v>#DIV/0!</v>
      </c>
    </row>
    <row r="34" spans="1:10" ht="15" x14ac:dyDescent="0.25">
      <c r="A34" s="26" t="s">
        <v>725</v>
      </c>
      <c r="B34" s="6" t="s">
        <v>85</v>
      </c>
      <c r="C34" s="7">
        <v>0</v>
      </c>
      <c r="D34" s="7"/>
      <c r="E34" s="7">
        <f t="shared" si="9"/>
        <v>0</v>
      </c>
      <c r="F34" s="7"/>
      <c r="G34" s="7">
        <f t="shared" si="8"/>
        <v>0</v>
      </c>
      <c r="H34" s="48" t="e">
        <f t="shared" si="6"/>
        <v>#DIV/0!</v>
      </c>
      <c r="I34" s="48" t="e">
        <f>G34/D34</f>
        <v>#DIV/0!</v>
      </c>
    </row>
    <row r="35" spans="1:10" ht="15" x14ac:dyDescent="0.25">
      <c r="A35" s="26" t="s">
        <v>726</v>
      </c>
      <c r="B35" s="6" t="s">
        <v>87</v>
      </c>
      <c r="C35" s="7">
        <v>450</v>
      </c>
      <c r="D35" s="7"/>
      <c r="E35" s="7">
        <f>C35-D35</f>
        <v>450</v>
      </c>
      <c r="F35" s="7">
        <v>473</v>
      </c>
      <c r="G35" s="7">
        <f>F35-C35</f>
        <v>23</v>
      </c>
      <c r="H35" s="48">
        <f>F35/C35</f>
        <v>1.0511111111111111</v>
      </c>
      <c r="I35" s="48" t="e">
        <f>G35/D35</f>
        <v>#DIV/0!</v>
      </c>
    </row>
    <row r="36" spans="1:10" ht="15" x14ac:dyDescent="0.25">
      <c r="A36" s="26" t="s">
        <v>727</v>
      </c>
      <c r="B36" s="6" t="s">
        <v>89</v>
      </c>
      <c r="C36" s="7">
        <v>30000</v>
      </c>
      <c r="D36" s="7"/>
      <c r="E36" s="7">
        <f t="shared" si="9"/>
        <v>30000</v>
      </c>
      <c r="F36" s="7">
        <v>15000</v>
      </c>
      <c r="G36" s="7">
        <f t="shared" si="8"/>
        <v>-15000</v>
      </c>
      <c r="H36" s="48">
        <f t="shared" si="6"/>
        <v>0.5</v>
      </c>
      <c r="I36" s="48" t="e">
        <f t="shared" si="7"/>
        <v>#DIV/0!</v>
      </c>
    </row>
    <row r="37" spans="1:10" ht="15" x14ac:dyDescent="0.25">
      <c r="A37" s="26" t="s">
        <v>728</v>
      </c>
      <c r="B37" s="6" t="s">
        <v>629</v>
      </c>
      <c r="C37" s="7">
        <v>25000</v>
      </c>
      <c r="D37" s="7"/>
      <c r="E37" s="7">
        <f t="shared" si="9"/>
        <v>25000</v>
      </c>
      <c r="F37" s="7">
        <v>140000</v>
      </c>
      <c r="G37" s="7">
        <f t="shared" si="8"/>
        <v>115000</v>
      </c>
      <c r="H37" s="48">
        <f t="shared" si="6"/>
        <v>5.6</v>
      </c>
      <c r="I37" s="48" t="e">
        <f t="shared" si="7"/>
        <v>#DIV/0!</v>
      </c>
    </row>
    <row r="38" spans="1:10" ht="15" x14ac:dyDescent="0.25">
      <c r="A38" s="26" t="s">
        <v>729</v>
      </c>
      <c r="B38" s="6" t="s">
        <v>95</v>
      </c>
      <c r="C38" s="7">
        <v>3950</v>
      </c>
      <c r="E38" s="7">
        <f t="shared" si="9"/>
        <v>3950</v>
      </c>
      <c r="F38" s="7">
        <v>500</v>
      </c>
      <c r="G38" s="7">
        <f t="shared" si="8"/>
        <v>-3450</v>
      </c>
      <c r="H38" s="48">
        <f t="shared" si="6"/>
        <v>0.12658227848101267</v>
      </c>
      <c r="I38" s="48" t="e">
        <f>F38/J38</f>
        <v>#DIV/0!</v>
      </c>
      <c r="J38" s="43"/>
    </row>
    <row r="39" spans="1:10" ht="15" x14ac:dyDescent="0.25">
      <c r="A39" s="26" t="s">
        <v>930</v>
      </c>
      <c r="B39" s="6" t="s">
        <v>242</v>
      </c>
      <c r="C39" s="7">
        <v>0</v>
      </c>
      <c r="E39" s="7">
        <f t="shared" si="9"/>
        <v>0</v>
      </c>
      <c r="F39" s="7">
        <v>250</v>
      </c>
      <c r="G39" s="7">
        <f t="shared" si="8"/>
        <v>250</v>
      </c>
      <c r="H39" s="48" t="e">
        <f t="shared" si="6"/>
        <v>#DIV/0!</v>
      </c>
      <c r="I39" s="48"/>
      <c r="J39" s="43"/>
    </row>
    <row r="40" spans="1:10" ht="15" x14ac:dyDescent="0.25">
      <c r="A40" s="26" t="s">
        <v>730</v>
      </c>
      <c r="B40" s="6" t="s">
        <v>931</v>
      </c>
      <c r="C40" s="7">
        <v>1500</v>
      </c>
      <c r="D40" s="7"/>
      <c r="E40" s="7">
        <f t="shared" si="9"/>
        <v>1500</v>
      </c>
      <c r="F40" s="7">
        <v>1500</v>
      </c>
      <c r="G40" s="7">
        <v>0</v>
      </c>
      <c r="H40" s="58">
        <f t="shared" si="6"/>
        <v>1</v>
      </c>
      <c r="I40" s="58" t="e">
        <f t="shared" si="7"/>
        <v>#DIV/0!</v>
      </c>
    </row>
    <row r="41" spans="1:10" ht="15" x14ac:dyDescent="0.25">
      <c r="A41" s="26" t="s">
        <v>731</v>
      </c>
      <c r="B41" s="6" t="s">
        <v>732</v>
      </c>
      <c r="C41" s="7">
        <v>20000</v>
      </c>
      <c r="D41" s="7"/>
      <c r="E41" s="7">
        <f t="shared" si="9"/>
        <v>20000</v>
      </c>
      <c r="F41" s="7">
        <v>20000</v>
      </c>
      <c r="G41" s="7">
        <f t="shared" si="8"/>
        <v>0</v>
      </c>
      <c r="H41" s="48">
        <f t="shared" si="6"/>
        <v>1</v>
      </c>
      <c r="I41" s="48" t="e">
        <f t="shared" si="7"/>
        <v>#DIV/0!</v>
      </c>
    </row>
    <row r="42" spans="1:10" ht="15" x14ac:dyDescent="0.25">
      <c r="A42" s="26" t="s">
        <v>733</v>
      </c>
      <c r="B42" s="6" t="s">
        <v>245</v>
      </c>
      <c r="C42" s="7">
        <v>1510</v>
      </c>
      <c r="D42" s="7"/>
      <c r="E42" s="7">
        <f t="shared" si="9"/>
        <v>1510</v>
      </c>
      <c r="F42" s="7">
        <v>200</v>
      </c>
      <c r="G42" s="7">
        <f t="shared" si="8"/>
        <v>-1310</v>
      </c>
      <c r="H42" s="48">
        <f t="shared" si="6"/>
        <v>0.13245033112582782</v>
      </c>
      <c r="I42" s="48" t="e">
        <f t="shared" si="7"/>
        <v>#DIV/0!</v>
      </c>
    </row>
    <row r="43" spans="1:10" ht="15" x14ac:dyDescent="0.25">
      <c r="A43" s="26" t="s">
        <v>734</v>
      </c>
      <c r="B43" s="6" t="s">
        <v>105</v>
      </c>
      <c r="C43" s="7">
        <v>1081</v>
      </c>
      <c r="D43" s="7"/>
      <c r="E43" s="7">
        <f t="shared" si="9"/>
        <v>1081</v>
      </c>
      <c r="F43" s="7">
        <v>1100</v>
      </c>
      <c r="G43" s="7">
        <f t="shared" si="8"/>
        <v>19</v>
      </c>
      <c r="H43" s="48">
        <f t="shared" si="6"/>
        <v>1.0175763182238668</v>
      </c>
      <c r="I43" s="48" t="e">
        <f t="shared" si="7"/>
        <v>#DIV/0!</v>
      </c>
    </row>
    <row r="44" spans="1:10" ht="15" x14ac:dyDescent="0.25">
      <c r="A44" s="26" t="s">
        <v>735</v>
      </c>
      <c r="B44" s="6" t="s">
        <v>736</v>
      </c>
      <c r="C44" s="7">
        <v>330</v>
      </c>
      <c r="D44" s="7"/>
      <c r="E44" s="7">
        <f t="shared" si="9"/>
        <v>330</v>
      </c>
      <c r="F44" s="7">
        <v>330</v>
      </c>
      <c r="G44" s="7">
        <f t="shared" si="8"/>
        <v>0</v>
      </c>
      <c r="H44" s="48">
        <f t="shared" si="6"/>
        <v>1</v>
      </c>
      <c r="I44" s="48" t="e">
        <f t="shared" si="7"/>
        <v>#DIV/0!</v>
      </c>
    </row>
    <row r="45" spans="1:10" ht="15" x14ac:dyDescent="0.25">
      <c r="A45" s="26" t="s">
        <v>737</v>
      </c>
      <c r="B45" s="6" t="s">
        <v>738</v>
      </c>
      <c r="C45" s="7">
        <v>3600</v>
      </c>
      <c r="D45" s="7"/>
      <c r="E45" s="7">
        <f t="shared" si="9"/>
        <v>3600</v>
      </c>
      <c r="F45" s="7"/>
      <c r="G45" s="7">
        <f t="shared" si="8"/>
        <v>-3600</v>
      </c>
      <c r="H45" s="48">
        <f t="shared" si="6"/>
        <v>0</v>
      </c>
      <c r="I45" s="48"/>
    </row>
    <row r="46" spans="1:10" ht="15" x14ac:dyDescent="0.25">
      <c r="A46" s="26" t="s">
        <v>739</v>
      </c>
      <c r="B46" s="6" t="s">
        <v>117</v>
      </c>
      <c r="C46" s="7">
        <v>200</v>
      </c>
      <c r="D46" s="7"/>
      <c r="E46" s="7">
        <f>C46-D46</f>
        <v>200</v>
      </c>
      <c r="F46" s="7"/>
      <c r="G46" s="7">
        <f>F46-C46</f>
        <v>-200</v>
      </c>
      <c r="H46" s="48">
        <f>F46/C46</f>
        <v>0</v>
      </c>
      <c r="I46" s="48" t="e">
        <f>F46/D46</f>
        <v>#DIV/0!</v>
      </c>
    </row>
    <row r="47" spans="1:10" ht="15" x14ac:dyDescent="0.25">
      <c r="A47" s="26" t="s">
        <v>740</v>
      </c>
      <c r="B47" s="6" t="s">
        <v>115</v>
      </c>
      <c r="C47" s="7">
        <v>0</v>
      </c>
      <c r="D47" s="7"/>
      <c r="E47" s="7">
        <f t="shared" si="9"/>
        <v>0</v>
      </c>
      <c r="F47" s="43"/>
      <c r="G47" s="7">
        <f t="shared" si="8"/>
        <v>0</v>
      </c>
      <c r="H47" s="58" t="e">
        <f t="shared" si="6"/>
        <v>#DIV/0!</v>
      </c>
      <c r="I47" s="58" t="e">
        <f t="shared" si="7"/>
        <v>#DIV/0!</v>
      </c>
    </row>
    <row r="48" spans="1:10" ht="15" x14ac:dyDescent="0.25">
      <c r="A48" s="6"/>
      <c r="B48" s="6"/>
      <c r="C48" s="7"/>
      <c r="D48" s="7"/>
      <c r="E48" s="7"/>
      <c r="F48" s="43"/>
      <c r="G48" s="7"/>
      <c r="H48" s="48"/>
      <c r="I48" s="48"/>
    </row>
    <row r="49" spans="1:9" ht="15" x14ac:dyDescent="0.25">
      <c r="A49" s="10" t="s">
        <v>162</v>
      </c>
      <c r="B49" s="6"/>
      <c r="C49" s="7">
        <f>SUM(C18:C48)</f>
        <v>334896</v>
      </c>
      <c r="D49" s="7">
        <f>SUM(D18:D48)</f>
        <v>0</v>
      </c>
      <c r="E49" s="7">
        <f>SUM(E18:E48)</f>
        <v>334896</v>
      </c>
      <c r="F49" s="7">
        <f>SUM(F18:F48)</f>
        <v>242006</v>
      </c>
      <c r="G49" s="7">
        <f>SUM(G18:G48)</f>
        <v>-92890</v>
      </c>
      <c r="H49" s="48">
        <f>F49/C49</f>
        <v>0.7226303091108881</v>
      </c>
      <c r="I49" s="48" t="e">
        <f>F49/D49</f>
        <v>#DIV/0!</v>
      </c>
    </row>
    <row r="50" spans="1:9" ht="15" x14ac:dyDescent="0.25">
      <c r="A50" s="6"/>
      <c r="B50" s="6"/>
      <c r="C50" s="7"/>
      <c r="D50" s="7"/>
      <c r="E50" s="7"/>
      <c r="F50" s="7"/>
      <c r="G50" s="7"/>
      <c r="H50" s="48"/>
      <c r="I50" s="48"/>
    </row>
    <row r="51" spans="1:9" ht="15" x14ac:dyDescent="0.25">
      <c r="A51" s="10" t="s">
        <v>187</v>
      </c>
      <c r="B51" s="6"/>
      <c r="C51" s="7">
        <f>SUM(C14+C49)</f>
        <v>253646</v>
      </c>
      <c r="D51" s="7">
        <f>SUM(D14+D49)</f>
        <v>0</v>
      </c>
      <c r="E51" s="7">
        <f>SUM(E14+E49)</f>
        <v>253646</v>
      </c>
      <c r="F51" s="7">
        <f>SUM(F14+F49)</f>
        <v>103506</v>
      </c>
      <c r="G51" s="7">
        <f>G14+G49</f>
        <v>-150140</v>
      </c>
      <c r="H51" s="48">
        <f>F51/C51</f>
        <v>0.40807266820687099</v>
      </c>
      <c r="I51" s="48" t="e">
        <f>F51/D51</f>
        <v>#DIV/0!</v>
      </c>
    </row>
    <row r="53" spans="1:9" x14ac:dyDescent="0.25">
      <c r="F53" s="2">
        <v>106138</v>
      </c>
      <c r="G53" s="2">
        <v>-147508</v>
      </c>
      <c r="H53" s="47">
        <v>0.418449334899821</v>
      </c>
      <c r="I53" s="47" t="e">
        <v>#DIV/0!</v>
      </c>
    </row>
    <row r="54" spans="1:9" x14ac:dyDescent="0.25">
      <c r="F54" s="2">
        <f>F51-F53</f>
        <v>-2632</v>
      </c>
    </row>
  </sheetData>
  <mergeCells count="1">
    <mergeCell ref="A1:G1"/>
  </mergeCells>
  <phoneticPr fontId="1" type="noConversion"/>
  <conditionalFormatting sqref="A9:A11 A26:A47">
    <cfRule type="expression" dxfId="47" priority="565" stopIfTrue="1">
      <formula>AND(COUNTIF($A$1:$A$367, A9)&gt;1,NOT(ISBLANK(A9)))</formula>
    </cfRule>
  </conditionalFormatting>
  <pageMargins left="0.74803149606299213" right="0.74803149606299213" top="0.98425196850393704" bottom="0.98425196850393704" header="0.51181102362204722" footer="0.51181102362204722"/>
  <pageSetup scale="65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79998168889431442"/>
  </sheetPr>
  <dimension ref="A1:L38"/>
  <sheetViews>
    <sheetView workbookViewId="0">
      <pane ySplit="3" topLeftCell="A22" activePane="bottomLeft" state="frozen"/>
      <selection activeCell="F52" sqref="F52"/>
      <selection pane="bottomLeft" activeCell="G38" sqref="G38"/>
    </sheetView>
  </sheetViews>
  <sheetFormatPr defaultRowHeight="13.2" x14ac:dyDescent="0.25"/>
  <cols>
    <col min="1" max="1" width="23.6640625" customWidth="1"/>
    <col min="2" max="2" width="34.6640625" customWidth="1"/>
    <col min="3" max="3" width="13.33203125" style="2" customWidth="1"/>
    <col min="4" max="4" width="18.6640625" style="2" customWidth="1"/>
    <col min="5" max="7" width="13.33203125" style="2" customWidth="1"/>
    <col min="8" max="8" width="13.33203125" style="47" customWidth="1"/>
    <col min="9" max="9" width="15.6640625" style="47" customWidth="1"/>
  </cols>
  <sheetData>
    <row r="1" spans="1:12" ht="15.6" x14ac:dyDescent="0.3">
      <c r="A1" s="289" t="s">
        <v>17</v>
      </c>
      <c r="B1" s="289"/>
      <c r="C1" s="289"/>
      <c r="D1" s="289"/>
      <c r="E1" s="289"/>
      <c r="F1" s="289"/>
      <c r="G1" s="289"/>
      <c r="H1" s="46"/>
      <c r="I1" s="46"/>
    </row>
    <row r="2" spans="1:12" ht="15.6" x14ac:dyDescent="0.3">
      <c r="A2" s="41" t="str">
        <f>'Bldg ByLaw Accts'!A2</f>
        <v>2026 Draft Budget</v>
      </c>
      <c r="B2" s="8"/>
      <c r="C2" s="18"/>
      <c r="D2" s="18"/>
      <c r="E2" s="18"/>
      <c r="F2" s="18"/>
      <c r="G2" s="18"/>
      <c r="H2" s="46"/>
      <c r="I2" s="46"/>
    </row>
    <row r="3" spans="1:12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2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12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12" ht="15" x14ac:dyDescent="0.25">
      <c r="A6" s="6"/>
      <c r="B6" s="6"/>
      <c r="C6" s="7"/>
      <c r="D6" s="7"/>
      <c r="E6" s="7"/>
      <c r="F6" s="7"/>
      <c r="G6" s="7"/>
      <c r="H6" s="46"/>
      <c r="I6" s="46"/>
    </row>
    <row r="7" spans="1:12" ht="15" x14ac:dyDescent="0.25">
      <c r="A7" s="22" t="s">
        <v>741</v>
      </c>
      <c r="B7" s="6" t="s">
        <v>742</v>
      </c>
      <c r="C7" s="7">
        <v>-6600</v>
      </c>
      <c r="D7" s="7"/>
      <c r="E7" s="7">
        <f>C7-D7</f>
        <v>-6600</v>
      </c>
      <c r="F7" s="7">
        <v>-15935.4</v>
      </c>
      <c r="G7" s="7">
        <f>F7-C7</f>
        <v>-9335.4</v>
      </c>
      <c r="H7" s="48">
        <f>IFERROR(F7/C7,0)</f>
        <v>2.4144545454545452</v>
      </c>
      <c r="I7" s="48">
        <f>IFERROR(F7/D7,0)</f>
        <v>0</v>
      </c>
    </row>
    <row r="8" spans="1:12" ht="15" x14ac:dyDescent="0.25">
      <c r="A8" s="22" t="s">
        <v>743</v>
      </c>
      <c r="B8" s="6" t="s">
        <v>744</v>
      </c>
      <c r="C8" s="7">
        <v>-3219</v>
      </c>
      <c r="D8" s="7"/>
      <c r="E8" s="7">
        <f>C8-D8</f>
        <v>-3219</v>
      </c>
      <c r="F8" s="7">
        <v>-3219</v>
      </c>
      <c r="G8" s="7">
        <f>F8-C8</f>
        <v>0</v>
      </c>
      <c r="H8" s="48">
        <f t="shared" ref="H8:H13" si="0">IFERROR(F8/C8,0)</f>
        <v>1</v>
      </c>
      <c r="I8" s="48">
        <f t="shared" ref="I8:I11" si="1">IFERROR(F8/D8,0)</f>
        <v>0</v>
      </c>
    </row>
    <row r="9" spans="1:12" ht="15" x14ac:dyDescent="0.25">
      <c r="A9" s="22" t="s">
        <v>745</v>
      </c>
      <c r="B9" s="6" t="s">
        <v>746</v>
      </c>
      <c r="C9" s="7">
        <v>-1700</v>
      </c>
      <c r="D9" s="7"/>
      <c r="E9" s="7">
        <f>C9-D9</f>
        <v>-1700</v>
      </c>
      <c r="F9" s="7">
        <v>-1700</v>
      </c>
      <c r="G9" s="7">
        <f>F9-C9</f>
        <v>0</v>
      </c>
      <c r="H9" s="48">
        <f t="shared" si="0"/>
        <v>1</v>
      </c>
      <c r="I9" s="48">
        <f t="shared" si="1"/>
        <v>0</v>
      </c>
    </row>
    <row r="10" spans="1:12" ht="15" x14ac:dyDescent="0.25">
      <c r="A10" s="22" t="s">
        <v>747</v>
      </c>
      <c r="B10" s="6" t="s">
        <v>205</v>
      </c>
      <c r="C10" s="7">
        <v>0</v>
      </c>
      <c r="D10" s="7"/>
      <c r="E10" s="7">
        <f>C10-D10</f>
        <v>0</v>
      </c>
      <c r="F10" s="7"/>
      <c r="G10" s="7">
        <f>F10-C10</f>
        <v>0</v>
      </c>
      <c r="H10" s="48">
        <f t="shared" si="0"/>
        <v>0</v>
      </c>
      <c r="I10" s="48">
        <f t="shared" si="1"/>
        <v>0</v>
      </c>
    </row>
    <row r="11" spans="1:12" s="4" customFormat="1" ht="15" x14ac:dyDescent="0.25">
      <c r="A11" s="21" t="s">
        <v>748</v>
      </c>
      <c r="B11" s="6" t="s">
        <v>749</v>
      </c>
      <c r="C11" s="7">
        <v>0</v>
      </c>
      <c r="D11" s="7"/>
      <c r="E11" s="7">
        <f>C11-D11</f>
        <v>0</v>
      </c>
      <c r="F11" s="7"/>
      <c r="G11" s="7">
        <f>F11-C11</f>
        <v>0</v>
      </c>
      <c r="H11" s="48">
        <f t="shared" si="0"/>
        <v>0</v>
      </c>
      <c r="I11" s="48">
        <f t="shared" si="1"/>
        <v>0</v>
      </c>
    </row>
    <row r="12" spans="1:12" ht="15" x14ac:dyDescent="0.25">
      <c r="A12" s="6"/>
      <c r="B12" s="6"/>
      <c r="C12" s="7"/>
      <c r="D12" s="7"/>
      <c r="E12" s="7"/>
      <c r="F12" s="7"/>
      <c r="G12" s="7"/>
      <c r="H12" s="48"/>
      <c r="I12" s="48"/>
    </row>
    <row r="13" spans="1:12" ht="15" x14ac:dyDescent="0.25">
      <c r="A13" s="6" t="s">
        <v>49</v>
      </c>
      <c r="B13" s="6"/>
      <c r="C13" s="7">
        <f>SUM(C7:C12)</f>
        <v>-11519</v>
      </c>
      <c r="D13" s="7">
        <f>SUM(D7:D12)</f>
        <v>0</v>
      </c>
      <c r="E13" s="7">
        <f>SUM(E7:E12)</f>
        <v>-11519</v>
      </c>
      <c r="F13" s="7">
        <f>SUM(F7:F12)</f>
        <v>-20854.400000000001</v>
      </c>
      <c r="G13" s="7">
        <f>SUM(G7:G12)</f>
        <v>-9335.4</v>
      </c>
      <c r="H13" s="48">
        <f t="shared" si="0"/>
        <v>1.8104349335879852</v>
      </c>
      <c r="I13" s="48">
        <f>IFERROR(F13/D13,0)</f>
        <v>0</v>
      </c>
    </row>
    <row r="14" spans="1:12" ht="15" x14ac:dyDescent="0.25">
      <c r="A14" s="6"/>
      <c r="B14" s="6"/>
      <c r="C14" s="7"/>
      <c r="D14" s="7"/>
      <c r="E14" s="7"/>
      <c r="F14" s="7"/>
      <c r="G14" s="7"/>
      <c r="H14" s="48"/>
      <c r="I14" s="48"/>
    </row>
    <row r="15" spans="1:12" ht="15" x14ac:dyDescent="0.25">
      <c r="A15" s="6"/>
      <c r="B15" s="6"/>
      <c r="C15" s="7"/>
      <c r="D15" s="7"/>
      <c r="E15" s="7"/>
      <c r="F15" s="7"/>
      <c r="G15" s="7"/>
      <c r="H15" s="48"/>
      <c r="I15" s="48"/>
      <c r="L15" s="57"/>
    </row>
    <row r="16" spans="1:12" ht="15" x14ac:dyDescent="0.25">
      <c r="A16" s="10" t="s">
        <v>50</v>
      </c>
      <c r="B16" s="6"/>
      <c r="C16" s="7"/>
      <c r="D16" s="7"/>
      <c r="E16" s="7"/>
      <c r="F16" s="7"/>
      <c r="G16" s="7"/>
      <c r="H16" s="48"/>
      <c r="I16" s="48"/>
    </row>
    <row r="17" spans="1:11" ht="15" x14ac:dyDescent="0.25">
      <c r="A17" s="6"/>
      <c r="B17" s="6"/>
      <c r="C17" s="7"/>
      <c r="D17" s="7"/>
      <c r="E17" s="7"/>
      <c r="F17" s="7"/>
      <c r="G17" s="7"/>
      <c r="H17" s="48"/>
      <c r="I17" s="48"/>
    </row>
    <row r="18" spans="1:11" ht="15" x14ac:dyDescent="0.25">
      <c r="A18" s="22" t="s">
        <v>750</v>
      </c>
      <c r="B18" s="6" t="s">
        <v>751</v>
      </c>
      <c r="C18" s="7">
        <v>0</v>
      </c>
      <c r="D18" s="7"/>
      <c r="E18" s="7">
        <f t="shared" ref="E18:E34" si="2">C18-D18</f>
        <v>0</v>
      </c>
      <c r="F18" s="7"/>
      <c r="G18" s="7">
        <f t="shared" ref="G18:G33" si="3">F18-C18</f>
        <v>0</v>
      </c>
      <c r="H18" s="48">
        <f t="shared" ref="H18:H33" si="4">IFERROR(F18/C18,0)</f>
        <v>0</v>
      </c>
      <c r="I18" s="48">
        <f>IFERROR(F18/D18,0)</f>
        <v>0</v>
      </c>
    </row>
    <row r="19" spans="1:11" ht="15" x14ac:dyDescent="0.25">
      <c r="A19" s="20" t="s">
        <v>752</v>
      </c>
      <c r="B19" s="6" t="s">
        <v>71</v>
      </c>
      <c r="C19" s="7">
        <v>0</v>
      </c>
      <c r="D19" s="7"/>
      <c r="E19" s="7">
        <f t="shared" si="2"/>
        <v>0</v>
      </c>
      <c r="F19" s="7"/>
      <c r="G19" s="7">
        <f t="shared" si="3"/>
        <v>0</v>
      </c>
      <c r="H19" s="48">
        <f>IFERROR(F19/C19,0)</f>
        <v>0</v>
      </c>
      <c r="I19" s="48">
        <f t="shared" ref="I19:I33" si="5">IFERROR(F19/D19,0)</f>
        <v>0</v>
      </c>
    </row>
    <row r="20" spans="1:11" ht="15" x14ac:dyDescent="0.25">
      <c r="A20" s="20" t="s">
        <v>753</v>
      </c>
      <c r="B20" s="6" t="s">
        <v>73</v>
      </c>
      <c r="C20" s="7">
        <v>0</v>
      </c>
      <c r="D20" s="7"/>
      <c r="E20" s="7">
        <f t="shared" si="2"/>
        <v>0</v>
      </c>
      <c r="F20" s="7"/>
      <c r="G20" s="7">
        <f t="shared" si="3"/>
        <v>0</v>
      </c>
      <c r="H20" s="48">
        <f t="shared" si="4"/>
        <v>0</v>
      </c>
      <c r="I20" s="48">
        <f t="shared" si="5"/>
        <v>0</v>
      </c>
    </row>
    <row r="21" spans="1:11" ht="15" x14ac:dyDescent="0.25">
      <c r="A21" s="20" t="s">
        <v>754</v>
      </c>
      <c r="B21" s="6" t="s">
        <v>75</v>
      </c>
      <c r="C21" s="7">
        <v>0</v>
      </c>
      <c r="D21" s="7"/>
      <c r="E21" s="7">
        <f t="shared" si="2"/>
        <v>0</v>
      </c>
      <c r="F21" s="7"/>
      <c r="G21" s="7">
        <f t="shared" si="3"/>
        <v>0</v>
      </c>
      <c r="H21" s="48">
        <f t="shared" si="4"/>
        <v>0</v>
      </c>
      <c r="I21" s="48">
        <f t="shared" si="5"/>
        <v>0</v>
      </c>
    </row>
    <row r="22" spans="1:11" ht="15" x14ac:dyDescent="0.25">
      <c r="A22" s="20" t="s">
        <v>755</v>
      </c>
      <c r="B22" s="6" t="s">
        <v>77</v>
      </c>
      <c r="C22" s="7">
        <v>0</v>
      </c>
      <c r="D22" s="7"/>
      <c r="E22" s="7">
        <f t="shared" si="2"/>
        <v>0</v>
      </c>
      <c r="F22" s="7"/>
      <c r="G22" s="7">
        <f t="shared" si="3"/>
        <v>0</v>
      </c>
      <c r="H22" s="48">
        <f t="shared" si="4"/>
        <v>0</v>
      </c>
      <c r="I22" s="48">
        <f t="shared" si="5"/>
        <v>0</v>
      </c>
    </row>
    <row r="23" spans="1:11" ht="15" x14ac:dyDescent="0.25">
      <c r="A23" s="26" t="s">
        <v>756</v>
      </c>
      <c r="B23" s="6" t="s">
        <v>79</v>
      </c>
      <c r="C23" s="7">
        <v>0</v>
      </c>
      <c r="D23" s="7"/>
      <c r="E23" s="7">
        <f t="shared" si="2"/>
        <v>0</v>
      </c>
      <c r="F23" s="7"/>
      <c r="G23" s="7">
        <f t="shared" si="3"/>
        <v>0</v>
      </c>
      <c r="H23" s="48">
        <f t="shared" si="4"/>
        <v>0</v>
      </c>
      <c r="I23" s="48">
        <f t="shared" si="5"/>
        <v>0</v>
      </c>
      <c r="K23" s="4"/>
    </row>
    <row r="24" spans="1:11" ht="15" x14ac:dyDescent="0.25">
      <c r="A24" s="22" t="s">
        <v>757</v>
      </c>
      <c r="B24" s="6" t="s">
        <v>81</v>
      </c>
      <c r="C24" s="7">
        <v>0</v>
      </c>
      <c r="D24" s="7"/>
      <c r="E24" s="7">
        <f t="shared" si="2"/>
        <v>0</v>
      </c>
      <c r="F24" s="7"/>
      <c r="G24" s="7">
        <f t="shared" si="3"/>
        <v>0</v>
      </c>
      <c r="H24" s="48">
        <f t="shared" si="4"/>
        <v>0</v>
      </c>
      <c r="I24" s="48">
        <f t="shared" si="5"/>
        <v>0</v>
      </c>
    </row>
    <row r="25" spans="1:11" ht="15" x14ac:dyDescent="0.25">
      <c r="A25" s="20" t="s">
        <v>758</v>
      </c>
      <c r="B25" s="6" t="s">
        <v>366</v>
      </c>
      <c r="C25" s="7">
        <v>1150</v>
      </c>
      <c r="D25" s="7"/>
      <c r="E25" s="7">
        <f t="shared" si="2"/>
        <v>1150</v>
      </c>
      <c r="F25" s="7">
        <v>1150</v>
      </c>
      <c r="G25" s="7">
        <f t="shared" si="3"/>
        <v>0</v>
      </c>
      <c r="H25" s="48">
        <f t="shared" si="4"/>
        <v>1</v>
      </c>
      <c r="I25" s="48">
        <f t="shared" si="5"/>
        <v>0</v>
      </c>
    </row>
    <row r="26" spans="1:11" ht="15" x14ac:dyDescent="0.25">
      <c r="A26" s="20" t="s">
        <v>759</v>
      </c>
      <c r="B26" s="6" t="s">
        <v>368</v>
      </c>
      <c r="C26" s="7">
        <v>1050</v>
      </c>
      <c r="D26" s="7"/>
      <c r="E26" s="7">
        <f t="shared" si="2"/>
        <v>1050</v>
      </c>
      <c r="F26" s="7">
        <v>1050</v>
      </c>
      <c r="G26" s="7">
        <f t="shared" si="3"/>
        <v>0</v>
      </c>
      <c r="H26" s="48">
        <f t="shared" si="4"/>
        <v>1</v>
      </c>
      <c r="I26" s="48">
        <f t="shared" si="5"/>
        <v>0</v>
      </c>
    </row>
    <row r="27" spans="1:11" ht="15" x14ac:dyDescent="0.25">
      <c r="A27" s="20" t="s">
        <v>760</v>
      </c>
      <c r="B27" s="6" t="s">
        <v>91</v>
      </c>
      <c r="C27" s="7">
        <v>933790</v>
      </c>
      <c r="D27" s="7"/>
      <c r="E27" s="7">
        <f t="shared" si="2"/>
        <v>933790</v>
      </c>
      <c r="F27" s="7">
        <v>1036507</v>
      </c>
      <c r="G27" s="7">
        <f t="shared" si="3"/>
        <v>102717</v>
      </c>
      <c r="H27" s="48">
        <f t="shared" si="4"/>
        <v>1.1100001070904593</v>
      </c>
      <c r="I27" s="48">
        <f t="shared" si="5"/>
        <v>0</v>
      </c>
    </row>
    <row r="28" spans="1:11" ht="15" x14ac:dyDescent="0.25">
      <c r="A28" s="20" t="s">
        <v>761</v>
      </c>
      <c r="B28" s="6" t="s">
        <v>205</v>
      </c>
      <c r="C28" s="7">
        <v>0</v>
      </c>
      <c r="D28" s="7"/>
      <c r="E28" s="7">
        <f t="shared" si="2"/>
        <v>0</v>
      </c>
      <c r="F28" s="7">
        <v>0</v>
      </c>
      <c r="G28" s="7">
        <f t="shared" ref="G28" si="6">F28-C28</f>
        <v>0</v>
      </c>
      <c r="H28" s="48">
        <f t="shared" si="4"/>
        <v>0</v>
      </c>
      <c r="I28" s="48">
        <f t="shared" si="5"/>
        <v>0</v>
      </c>
    </row>
    <row r="29" spans="1:11" s="4" customFormat="1" ht="15" x14ac:dyDescent="0.25">
      <c r="A29" s="20" t="s">
        <v>762</v>
      </c>
      <c r="B29" s="6" t="s">
        <v>763</v>
      </c>
      <c r="C29" s="7">
        <v>0</v>
      </c>
      <c r="D29" s="7"/>
      <c r="E29" s="7">
        <f t="shared" si="2"/>
        <v>0</v>
      </c>
      <c r="F29" s="7">
        <v>0</v>
      </c>
      <c r="G29" s="7">
        <f t="shared" si="3"/>
        <v>0</v>
      </c>
      <c r="H29" s="48">
        <f t="shared" si="4"/>
        <v>0</v>
      </c>
      <c r="I29" s="48">
        <f t="shared" si="5"/>
        <v>0</v>
      </c>
    </row>
    <row r="30" spans="1:11" ht="15" x14ac:dyDescent="0.25">
      <c r="A30" s="22" t="s">
        <v>764</v>
      </c>
      <c r="B30" s="6" t="s">
        <v>765</v>
      </c>
      <c r="C30" s="7">
        <v>6600</v>
      </c>
      <c r="D30" s="7"/>
      <c r="E30" s="7">
        <f t="shared" si="2"/>
        <v>6600</v>
      </c>
      <c r="F30" s="7">
        <v>15935.4</v>
      </c>
      <c r="G30" s="7">
        <f t="shared" si="3"/>
        <v>9335.4</v>
      </c>
      <c r="H30" s="48">
        <f t="shared" si="4"/>
        <v>2.4144545454545452</v>
      </c>
      <c r="I30" s="48">
        <f t="shared" si="5"/>
        <v>0</v>
      </c>
    </row>
    <row r="31" spans="1:11" ht="15" x14ac:dyDescent="0.25">
      <c r="A31" s="22" t="s">
        <v>766</v>
      </c>
      <c r="B31" s="6" t="s">
        <v>767</v>
      </c>
      <c r="C31" s="7">
        <v>0</v>
      </c>
      <c r="D31" s="7"/>
      <c r="E31" s="7">
        <f t="shared" si="2"/>
        <v>0</v>
      </c>
      <c r="F31" s="7">
        <v>0</v>
      </c>
      <c r="G31" s="7">
        <f t="shared" si="3"/>
        <v>0</v>
      </c>
      <c r="H31" s="48">
        <f t="shared" si="4"/>
        <v>0</v>
      </c>
      <c r="I31" s="48">
        <f t="shared" si="5"/>
        <v>0</v>
      </c>
    </row>
    <row r="32" spans="1:11" ht="15" x14ac:dyDescent="0.25">
      <c r="A32" s="22" t="s">
        <v>768</v>
      </c>
      <c r="B32" s="6" t="s">
        <v>769</v>
      </c>
      <c r="C32" s="7">
        <v>0</v>
      </c>
      <c r="D32" s="7"/>
      <c r="E32" s="7">
        <f t="shared" si="2"/>
        <v>0</v>
      </c>
      <c r="F32" s="7">
        <v>0</v>
      </c>
      <c r="G32" s="7">
        <f t="shared" ref="G32" si="7">F32-C32</f>
        <v>0</v>
      </c>
      <c r="H32" s="48">
        <f t="shared" si="4"/>
        <v>0</v>
      </c>
      <c r="I32" s="48">
        <f t="shared" si="5"/>
        <v>0</v>
      </c>
    </row>
    <row r="33" spans="1:9" ht="15" x14ac:dyDescent="0.25">
      <c r="A33" s="21" t="s">
        <v>770</v>
      </c>
      <c r="B33" s="6" t="s">
        <v>449</v>
      </c>
      <c r="C33" s="7">
        <v>1700</v>
      </c>
      <c r="D33" s="7"/>
      <c r="E33" s="7">
        <f t="shared" si="2"/>
        <v>1700</v>
      </c>
      <c r="F33" s="7">
        <v>1700</v>
      </c>
      <c r="G33" s="7">
        <f t="shared" si="3"/>
        <v>0</v>
      </c>
      <c r="H33" s="48">
        <f t="shared" si="4"/>
        <v>1</v>
      </c>
      <c r="I33" s="48">
        <f t="shared" si="5"/>
        <v>0</v>
      </c>
    </row>
    <row r="34" spans="1:9" ht="15" x14ac:dyDescent="0.25">
      <c r="A34" s="21" t="s">
        <v>771</v>
      </c>
      <c r="B34" s="6" t="s">
        <v>772</v>
      </c>
      <c r="C34" s="7">
        <v>10830</v>
      </c>
      <c r="D34" s="7"/>
      <c r="E34" s="7">
        <f t="shared" si="2"/>
        <v>10830</v>
      </c>
      <c r="F34" s="51">
        <v>5866</v>
      </c>
      <c r="G34" s="7">
        <f t="shared" ref="G34" si="8">F34-C34</f>
        <v>-4964</v>
      </c>
      <c r="H34" s="48">
        <f t="shared" ref="H34" si="9">IFERROR(F34/C34,0)</f>
        <v>0.54164358264081258</v>
      </c>
      <c r="I34" s="48">
        <f t="shared" ref="I34" si="10">IFERROR(F34/D34,0)</f>
        <v>0</v>
      </c>
    </row>
    <row r="35" spans="1:9" ht="16.8" x14ac:dyDescent="0.4">
      <c r="A35" s="6"/>
      <c r="B35" s="6"/>
      <c r="C35" s="13"/>
      <c r="D35" s="13"/>
      <c r="E35" s="13"/>
      <c r="F35" s="13"/>
      <c r="G35" s="13"/>
      <c r="H35" s="48"/>
      <c r="I35" s="48"/>
    </row>
    <row r="36" spans="1:9" ht="16.8" x14ac:dyDescent="0.4">
      <c r="A36" s="20" t="s">
        <v>162</v>
      </c>
      <c r="B36" s="6"/>
      <c r="C36" s="12">
        <f>SUM(C18:C35)</f>
        <v>955120</v>
      </c>
      <c r="D36" s="12">
        <f>SUM(D18:D35)</f>
        <v>0</v>
      </c>
      <c r="E36" s="12">
        <f>SUM(E18:E35)</f>
        <v>955120</v>
      </c>
      <c r="F36" s="12">
        <f>SUM(F18:F35)</f>
        <v>1062208.3999999999</v>
      </c>
      <c r="G36" s="12">
        <f>SUM(G18:G35)</f>
        <v>107088.4</v>
      </c>
      <c r="H36" s="48">
        <f t="shared" ref="H36" si="11">IFERROR(F36/C36,0)</f>
        <v>1.11212036183935</v>
      </c>
      <c r="I36" s="48">
        <f>IFERROR(F36/D36,0)</f>
        <v>0</v>
      </c>
    </row>
    <row r="37" spans="1:9" ht="15" x14ac:dyDescent="0.25">
      <c r="A37" s="6"/>
      <c r="B37" s="6"/>
      <c r="C37" s="7"/>
      <c r="D37" s="7"/>
      <c r="E37" s="7"/>
      <c r="F37" s="7"/>
      <c r="G37" s="7"/>
      <c r="H37" s="48"/>
      <c r="I37" s="48"/>
    </row>
    <row r="38" spans="1:9" ht="16.8" x14ac:dyDescent="0.4">
      <c r="A38" s="10" t="s">
        <v>166</v>
      </c>
      <c r="B38" s="6"/>
      <c r="C38" s="13">
        <f>SUM(C13+C36)</f>
        <v>943601</v>
      </c>
      <c r="D38" s="13">
        <f>SUM(D13+D36)</f>
        <v>0</v>
      </c>
      <c r="E38" s="13">
        <f>SUM(E13+E36)</f>
        <v>943601</v>
      </c>
      <c r="F38" s="13">
        <f>SUM(F13+F36)</f>
        <v>1041353.9999999999</v>
      </c>
      <c r="G38" s="13">
        <f>SUM(G13+G36)</f>
        <v>97753</v>
      </c>
      <c r="H38" s="48">
        <f t="shared" ref="H38" si="12">IFERROR(F38/C38,0)</f>
        <v>1.1035956935187647</v>
      </c>
      <c r="I38" s="48">
        <f>IFERROR(F38/D38,0)</f>
        <v>0</v>
      </c>
    </row>
  </sheetData>
  <mergeCells count="1">
    <mergeCell ref="A1:G1"/>
  </mergeCells>
  <phoneticPr fontId="1" type="noConversion"/>
  <conditionalFormatting sqref="A7:A10">
    <cfRule type="expression" dxfId="46" priority="14" stopIfTrue="1">
      <formula>AND(COUNTIF($A$1:$A$352, A7)&gt;1,NOT(ISBLANK(A7)))</formula>
    </cfRule>
  </conditionalFormatting>
  <conditionalFormatting sqref="A11">
    <cfRule type="expression" dxfId="45" priority="13" stopIfTrue="1">
      <formula>AND(COUNTIF($A$1:$A$347, A11)&gt;1,NOT(ISBLANK(A11)))</formula>
    </cfRule>
  </conditionalFormatting>
  <conditionalFormatting sqref="A18:A32 A36">
    <cfRule type="expression" dxfId="44" priority="1" stopIfTrue="1">
      <formula>AND(COUNTIF($A$1:$A$351, A18)&gt;1,NOT(ISBLANK(A18)))</formula>
    </cfRule>
  </conditionalFormatting>
  <conditionalFormatting sqref="A33:A34">
    <cfRule type="expression" dxfId="43" priority="12" stopIfTrue="1">
      <formula>AND(COUNTIF($A$1:$A$348, A33)&gt;1,NOT(ISBLANK(A33)))</formula>
    </cfRule>
  </conditionalFormatting>
  <pageMargins left="0.75" right="0.75" top="1" bottom="1" header="0.5" footer="0.5"/>
  <pageSetup scale="65" orientation="portrait" horizontalDpi="4294967293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79998168889431442"/>
  </sheetPr>
  <dimension ref="A1:M67"/>
  <sheetViews>
    <sheetView zoomScaleNormal="100" workbookViewId="0">
      <pane ySplit="3" topLeftCell="A4" activePane="bottomLeft" state="frozen"/>
      <selection activeCell="C40" sqref="C40"/>
      <selection pane="bottomLeft" activeCell="F16" sqref="F16"/>
    </sheetView>
  </sheetViews>
  <sheetFormatPr defaultRowHeight="13.2" x14ac:dyDescent="0.25"/>
  <cols>
    <col min="1" max="1" width="23.33203125" customWidth="1"/>
    <col min="2" max="2" width="31.44140625" customWidth="1"/>
    <col min="3" max="3" width="13.6640625" style="2" customWidth="1"/>
    <col min="4" max="4" width="18" style="2" customWidth="1"/>
    <col min="5" max="7" width="13.6640625" style="2" customWidth="1"/>
    <col min="8" max="8" width="13.6640625" style="47" customWidth="1"/>
    <col min="9" max="9" width="16.33203125" style="47" customWidth="1"/>
    <col min="10" max="10" width="14.44140625" customWidth="1"/>
    <col min="12" max="12" width="11.44140625" bestFit="1" customWidth="1"/>
  </cols>
  <sheetData>
    <row r="1" spans="1:11" ht="15.6" x14ac:dyDescent="0.3">
      <c r="A1" s="289" t="s">
        <v>18</v>
      </c>
      <c r="B1" s="289"/>
      <c r="C1" s="289"/>
      <c r="D1" s="289"/>
      <c r="E1" s="289"/>
      <c r="F1" s="289"/>
      <c r="G1" s="289"/>
      <c r="H1" s="46"/>
      <c r="I1" s="46"/>
    </row>
    <row r="2" spans="1:11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11" ht="60.6" x14ac:dyDescent="0.3">
      <c r="A3" s="68"/>
      <c r="B3" s="70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1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11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11" ht="15" x14ac:dyDescent="0.25">
      <c r="A6" s="6"/>
      <c r="B6" s="6"/>
      <c r="C6" s="7"/>
      <c r="D6" s="7"/>
      <c r="E6" s="7"/>
      <c r="F6" s="7"/>
      <c r="G6" s="7"/>
      <c r="H6" s="46"/>
      <c r="I6" s="46"/>
    </row>
    <row r="7" spans="1:11" ht="15" x14ac:dyDescent="0.25">
      <c r="A7" s="22"/>
      <c r="B7" s="6"/>
      <c r="C7" s="11"/>
      <c r="D7" s="7"/>
      <c r="E7" s="7"/>
      <c r="F7" s="7"/>
      <c r="G7" s="7"/>
      <c r="H7" s="48"/>
      <c r="I7" s="48"/>
    </row>
    <row r="8" spans="1:11" ht="15" x14ac:dyDescent="0.25">
      <c r="A8" s="22" t="s">
        <v>773</v>
      </c>
      <c r="B8" s="6" t="s">
        <v>44</v>
      </c>
      <c r="C8" s="7">
        <v>0</v>
      </c>
      <c r="D8" s="7"/>
      <c r="E8" s="7">
        <f t="shared" ref="E8:E16" si="0">C8-D8</f>
        <v>0</v>
      </c>
      <c r="F8" s="7"/>
      <c r="G8" s="7">
        <f t="shared" ref="G8:G17" si="1">F8-C8</f>
        <v>0</v>
      </c>
      <c r="H8" s="48">
        <f>IFERROR(F8/C8,0)</f>
        <v>0</v>
      </c>
      <c r="I8" s="48">
        <f>IFERROR(F8/D8,0)</f>
        <v>0</v>
      </c>
      <c r="J8" s="57"/>
    </row>
    <row r="9" spans="1:11" ht="15" x14ac:dyDescent="0.25">
      <c r="A9" s="22" t="s">
        <v>774</v>
      </c>
      <c r="B9" s="6" t="s">
        <v>46</v>
      </c>
      <c r="C9" s="7">
        <v>-100000</v>
      </c>
      <c r="D9" s="7"/>
      <c r="E9" s="7">
        <f t="shared" si="0"/>
        <v>-100000</v>
      </c>
      <c r="F9" s="7">
        <v>-225000</v>
      </c>
      <c r="G9" s="7">
        <f t="shared" si="1"/>
        <v>-125000</v>
      </c>
      <c r="H9" s="48">
        <f t="shared" ref="H9:H18" si="2">IFERROR(F9/C9,0)</f>
        <v>2.25</v>
      </c>
      <c r="I9" s="48">
        <f t="shared" ref="I9:I18" si="3">IFERROR(F9/D9,0)</f>
        <v>0</v>
      </c>
      <c r="K9" s="30"/>
    </row>
    <row r="10" spans="1:11" ht="15" x14ac:dyDescent="0.25">
      <c r="A10" s="28" t="s">
        <v>775</v>
      </c>
      <c r="B10" s="6" t="s">
        <v>776</v>
      </c>
      <c r="C10" s="7">
        <v>-900</v>
      </c>
      <c r="D10" s="7"/>
      <c r="E10" s="7">
        <f t="shared" si="0"/>
        <v>-900</v>
      </c>
      <c r="F10" s="7">
        <v>-900</v>
      </c>
      <c r="G10" s="7">
        <f t="shared" si="1"/>
        <v>0</v>
      </c>
      <c r="H10" s="48">
        <f t="shared" si="2"/>
        <v>1</v>
      </c>
      <c r="I10" s="48">
        <f t="shared" si="3"/>
        <v>0</v>
      </c>
    </row>
    <row r="11" spans="1:11" ht="15" x14ac:dyDescent="0.25">
      <c r="A11" s="22" t="s">
        <v>777</v>
      </c>
      <c r="B11" s="6" t="s">
        <v>778</v>
      </c>
      <c r="C11" s="7">
        <v>-24927</v>
      </c>
      <c r="D11" s="7"/>
      <c r="E11" s="7">
        <f t="shared" si="0"/>
        <v>-24927</v>
      </c>
      <c r="F11" s="7">
        <v>-25426</v>
      </c>
      <c r="G11" s="7">
        <f t="shared" si="1"/>
        <v>-499</v>
      </c>
      <c r="H11" s="48">
        <f t="shared" si="2"/>
        <v>1.0200184538853452</v>
      </c>
      <c r="I11" s="48">
        <f t="shared" si="3"/>
        <v>0</v>
      </c>
      <c r="J11" s="4"/>
    </row>
    <row r="12" spans="1:11" ht="15" x14ac:dyDescent="0.25">
      <c r="A12" s="22" t="s">
        <v>779</v>
      </c>
      <c r="B12" s="6" t="s">
        <v>780</v>
      </c>
      <c r="C12" s="7">
        <v>-4500</v>
      </c>
      <c r="D12" s="7"/>
      <c r="E12" s="7">
        <f t="shared" si="0"/>
        <v>-4500</v>
      </c>
      <c r="F12" s="7">
        <v>-4500</v>
      </c>
      <c r="G12" s="7">
        <f t="shared" si="1"/>
        <v>0</v>
      </c>
      <c r="H12" s="48">
        <f t="shared" si="2"/>
        <v>1</v>
      </c>
      <c r="I12" s="48">
        <f t="shared" si="3"/>
        <v>0</v>
      </c>
      <c r="J12" s="2">
        <f>F9+F15+F16</f>
        <v>-1218174</v>
      </c>
    </row>
    <row r="13" spans="1:11" ht="15" x14ac:dyDescent="0.25">
      <c r="A13" s="22" t="s">
        <v>781</v>
      </c>
      <c r="B13" s="6" t="s">
        <v>36</v>
      </c>
      <c r="C13" s="7">
        <v>-2650</v>
      </c>
      <c r="D13" s="7"/>
      <c r="E13" s="7">
        <f t="shared" si="0"/>
        <v>-2650</v>
      </c>
      <c r="F13" s="7">
        <v>-4150</v>
      </c>
      <c r="G13" s="7">
        <f t="shared" si="1"/>
        <v>-1500</v>
      </c>
      <c r="H13" s="48">
        <f t="shared" si="2"/>
        <v>1.5660377358490567</v>
      </c>
      <c r="I13" s="48">
        <f t="shared" si="3"/>
        <v>0</v>
      </c>
    </row>
    <row r="14" spans="1:11" ht="15" x14ac:dyDescent="0.25">
      <c r="A14" s="21" t="s">
        <v>782</v>
      </c>
      <c r="B14" s="6" t="s">
        <v>783</v>
      </c>
      <c r="C14" s="7">
        <v>-4000</v>
      </c>
      <c r="D14" s="7"/>
      <c r="E14" s="7">
        <f t="shared" si="0"/>
        <v>-4000</v>
      </c>
      <c r="F14" s="7">
        <v>-4000</v>
      </c>
      <c r="G14" s="7">
        <f t="shared" si="1"/>
        <v>0</v>
      </c>
      <c r="H14" s="48">
        <f t="shared" si="2"/>
        <v>1</v>
      </c>
      <c r="I14" s="48">
        <f t="shared" si="3"/>
        <v>0</v>
      </c>
    </row>
    <row r="15" spans="1:11" ht="15" x14ac:dyDescent="0.25">
      <c r="A15" s="21" t="s">
        <v>784</v>
      </c>
      <c r="B15" s="6" t="s">
        <v>785</v>
      </c>
      <c r="C15" s="7">
        <v>-950565</v>
      </c>
      <c r="D15" s="7"/>
      <c r="E15" s="7">
        <f t="shared" si="0"/>
        <v>-950565</v>
      </c>
      <c r="F15" s="7">
        <v>-898952</v>
      </c>
      <c r="G15" s="7">
        <f t="shared" si="1"/>
        <v>51613</v>
      </c>
      <c r="H15" s="48">
        <f t="shared" si="2"/>
        <v>0.94570281884984198</v>
      </c>
      <c r="I15" s="48">
        <f t="shared" si="3"/>
        <v>0</v>
      </c>
      <c r="J15" s="57"/>
    </row>
    <row r="16" spans="1:11" ht="15" x14ac:dyDescent="0.25">
      <c r="A16" s="21" t="s">
        <v>786</v>
      </c>
      <c r="B16" s="6" t="s">
        <v>787</v>
      </c>
      <c r="C16" s="7">
        <v>-94222</v>
      </c>
      <c r="D16" s="7"/>
      <c r="E16" s="7">
        <f t="shared" si="0"/>
        <v>-94222</v>
      </c>
      <c r="F16" s="7">
        <v>-94222</v>
      </c>
      <c r="G16" s="7">
        <f t="shared" si="1"/>
        <v>0</v>
      </c>
      <c r="H16" s="48">
        <f t="shared" si="2"/>
        <v>1</v>
      </c>
      <c r="I16" s="48">
        <f t="shared" si="3"/>
        <v>0</v>
      </c>
    </row>
    <row r="17" spans="1:12" ht="15" x14ac:dyDescent="0.25">
      <c r="A17" s="6"/>
      <c r="B17" s="6"/>
      <c r="C17" s="7"/>
      <c r="D17" s="7"/>
      <c r="E17" s="7"/>
      <c r="F17" s="7"/>
      <c r="G17" s="7">
        <f t="shared" si="1"/>
        <v>0</v>
      </c>
      <c r="H17" s="48"/>
      <c r="I17" s="48"/>
    </row>
    <row r="18" spans="1:12" ht="15" x14ac:dyDescent="0.25">
      <c r="A18" s="6" t="s">
        <v>49</v>
      </c>
      <c r="B18" s="6"/>
      <c r="C18" s="7">
        <f>SUM(C7:C17)</f>
        <v>-1181764</v>
      </c>
      <c r="D18" s="7">
        <f>SUM(D7:D17)</f>
        <v>0</v>
      </c>
      <c r="E18" s="7">
        <f>SUM(E7:E17)</f>
        <v>-1181764</v>
      </c>
      <c r="F18" s="7">
        <f>SUM(F7:F17)</f>
        <v>-1257150</v>
      </c>
      <c r="G18" s="7">
        <f>SUM(G7:G17)</f>
        <v>-75386</v>
      </c>
      <c r="H18" s="48">
        <f t="shared" si="2"/>
        <v>1.0637910784217492</v>
      </c>
      <c r="I18" s="48">
        <f t="shared" si="3"/>
        <v>0</v>
      </c>
    </row>
    <row r="19" spans="1:12" ht="15" x14ac:dyDescent="0.25">
      <c r="A19" s="6"/>
      <c r="B19" s="6"/>
      <c r="C19" s="7"/>
      <c r="D19" s="7"/>
      <c r="E19" s="7"/>
      <c r="F19" s="7"/>
      <c r="G19" s="7"/>
      <c r="H19" s="48"/>
      <c r="I19" s="48"/>
    </row>
    <row r="20" spans="1:12" ht="15" x14ac:dyDescent="0.25">
      <c r="A20" s="10" t="s">
        <v>50</v>
      </c>
      <c r="B20" s="6"/>
      <c r="C20" s="7"/>
      <c r="D20" s="7"/>
      <c r="E20" s="7"/>
      <c r="F20" s="7"/>
      <c r="G20" s="7"/>
      <c r="H20" s="48"/>
      <c r="I20" s="48"/>
    </row>
    <row r="21" spans="1:12" ht="15" x14ac:dyDescent="0.25">
      <c r="A21" s="6"/>
      <c r="B21" s="6"/>
      <c r="C21" s="7"/>
      <c r="D21" s="7"/>
      <c r="E21" s="7"/>
      <c r="F21" s="7"/>
      <c r="G21" s="7"/>
      <c r="H21" s="48"/>
      <c r="I21" s="48"/>
      <c r="J21" s="67"/>
    </row>
    <row r="22" spans="1:12" ht="15" x14ac:dyDescent="0.25">
      <c r="A22" s="28" t="s">
        <v>788</v>
      </c>
      <c r="B22" s="6" t="s">
        <v>53</v>
      </c>
      <c r="C22" s="7">
        <v>594472</v>
      </c>
      <c r="D22" s="7"/>
      <c r="E22" s="7">
        <f t="shared" ref="E22:E63" si="4">C22-D22</f>
        <v>594472</v>
      </c>
      <c r="F22" s="7">
        <v>617487</v>
      </c>
      <c r="G22" s="7">
        <f t="shared" ref="G22:G63" si="5">F22-C22</f>
        <v>23015</v>
      </c>
      <c r="H22" s="48">
        <f t="shared" ref="H22:H67" si="6">IFERROR(F22/C22,0)</f>
        <v>1.038715027789366</v>
      </c>
      <c r="I22" s="48">
        <f t="shared" ref="I22:I67" si="7">IFERROR(F22/D22,0)</f>
        <v>0</v>
      </c>
      <c r="J22" s="2"/>
      <c r="L22" s="7"/>
    </row>
    <row r="23" spans="1:12" ht="15" x14ac:dyDescent="0.25">
      <c r="A23" s="21" t="s">
        <v>789</v>
      </c>
      <c r="B23" s="6" t="s">
        <v>348</v>
      </c>
      <c r="C23" s="7">
        <v>36093</v>
      </c>
      <c r="D23" s="7"/>
      <c r="E23" s="7">
        <f t="shared" si="4"/>
        <v>36093</v>
      </c>
      <c r="F23" s="7">
        <v>73766</v>
      </c>
      <c r="G23" s="7">
        <f t="shared" si="5"/>
        <v>37673</v>
      </c>
      <c r="H23" s="48">
        <f t="shared" si="6"/>
        <v>2.0437758014019338</v>
      </c>
      <c r="I23" s="48">
        <f t="shared" si="7"/>
        <v>0</v>
      </c>
      <c r="J23" s="2"/>
      <c r="L23" s="7"/>
    </row>
    <row r="24" spans="1:12" ht="15" x14ac:dyDescent="0.25">
      <c r="A24" s="28" t="s">
        <v>790</v>
      </c>
      <c r="B24" s="6" t="s">
        <v>57</v>
      </c>
      <c r="C24" s="7">
        <v>41125</v>
      </c>
      <c r="D24" s="7"/>
      <c r="E24" s="7">
        <f t="shared" si="4"/>
        <v>41125</v>
      </c>
      <c r="F24" s="7">
        <v>45774</v>
      </c>
      <c r="G24" s="7">
        <f t="shared" si="5"/>
        <v>4649</v>
      </c>
      <c r="H24" s="48">
        <f t="shared" si="6"/>
        <v>1.1130455927051672</v>
      </c>
      <c r="I24" s="48">
        <f t="shared" si="7"/>
        <v>0</v>
      </c>
      <c r="J24" s="2"/>
      <c r="L24" s="7"/>
    </row>
    <row r="25" spans="1:12" ht="15" x14ac:dyDescent="0.25">
      <c r="A25" s="28" t="s">
        <v>791</v>
      </c>
      <c r="B25" s="6" t="s">
        <v>604</v>
      </c>
      <c r="C25" s="7">
        <v>12296</v>
      </c>
      <c r="D25" s="7"/>
      <c r="E25" s="7">
        <f t="shared" si="4"/>
        <v>12296</v>
      </c>
      <c r="F25" s="7">
        <v>13480</v>
      </c>
      <c r="G25" s="7">
        <f t="shared" si="5"/>
        <v>1184</v>
      </c>
      <c r="H25" s="48">
        <f t="shared" si="6"/>
        <v>1.0962914769030578</v>
      </c>
      <c r="I25" s="48">
        <f t="shared" si="7"/>
        <v>0</v>
      </c>
      <c r="J25" s="2"/>
      <c r="L25" s="7"/>
    </row>
    <row r="26" spans="1:12" ht="15" x14ac:dyDescent="0.25">
      <c r="A26" s="28" t="s">
        <v>792</v>
      </c>
      <c r="B26" s="6" t="s">
        <v>606</v>
      </c>
      <c r="C26" s="7">
        <v>19485</v>
      </c>
      <c r="D26" s="7"/>
      <c r="E26" s="7">
        <f t="shared" si="4"/>
        <v>19485</v>
      </c>
      <c r="F26" s="7">
        <v>21775</v>
      </c>
      <c r="G26" s="7">
        <f t="shared" si="5"/>
        <v>2290</v>
      </c>
      <c r="H26" s="48">
        <f t="shared" si="6"/>
        <v>1.117526302283808</v>
      </c>
      <c r="I26" s="48">
        <f t="shared" si="7"/>
        <v>0</v>
      </c>
      <c r="J26" s="2"/>
      <c r="L26" s="7"/>
    </row>
    <row r="27" spans="1:12" ht="15" x14ac:dyDescent="0.25">
      <c r="A27" s="28" t="s">
        <v>793</v>
      </c>
      <c r="B27" s="6" t="s">
        <v>608</v>
      </c>
      <c r="C27" s="7">
        <v>53295</v>
      </c>
      <c r="D27" s="7"/>
      <c r="E27" s="7">
        <f t="shared" si="4"/>
        <v>53295</v>
      </c>
      <c r="F27" s="7">
        <v>55416</v>
      </c>
      <c r="G27" s="7">
        <f t="shared" si="5"/>
        <v>2121</v>
      </c>
      <c r="H27" s="48">
        <f t="shared" si="6"/>
        <v>1.039797354348438</v>
      </c>
      <c r="I27" s="48">
        <f t="shared" si="7"/>
        <v>0</v>
      </c>
      <c r="J27" s="2"/>
      <c r="L27" s="7"/>
    </row>
    <row r="28" spans="1:12" ht="15" x14ac:dyDescent="0.25">
      <c r="A28" s="28" t="s">
        <v>794</v>
      </c>
      <c r="B28" s="6" t="s">
        <v>610</v>
      </c>
      <c r="C28" s="7">
        <v>82850</v>
      </c>
      <c r="D28" s="7"/>
      <c r="E28" s="7">
        <f t="shared" si="4"/>
        <v>82850</v>
      </c>
      <c r="F28" s="7">
        <v>76062</v>
      </c>
      <c r="G28" s="7">
        <f t="shared" si="5"/>
        <v>-6788</v>
      </c>
      <c r="H28" s="48">
        <f t="shared" si="6"/>
        <v>0.91806879903439953</v>
      </c>
      <c r="I28" s="48">
        <f t="shared" si="7"/>
        <v>0</v>
      </c>
      <c r="J28" s="2"/>
      <c r="L28" s="7"/>
    </row>
    <row r="29" spans="1:12" ht="15" x14ac:dyDescent="0.25">
      <c r="A29" s="21" t="s">
        <v>795</v>
      </c>
      <c r="B29" s="6" t="s">
        <v>67</v>
      </c>
      <c r="C29" s="7">
        <v>0</v>
      </c>
      <c r="D29" s="7"/>
      <c r="E29" s="7">
        <f>C29-D29</f>
        <v>0</v>
      </c>
      <c r="F29" s="7">
        <v>400</v>
      </c>
      <c r="G29" s="7">
        <f t="shared" si="5"/>
        <v>400</v>
      </c>
      <c r="H29" s="48">
        <f t="shared" si="6"/>
        <v>0</v>
      </c>
      <c r="I29" s="48">
        <f t="shared" si="7"/>
        <v>0</v>
      </c>
      <c r="J29" s="2"/>
      <c r="L29" s="7"/>
    </row>
    <row r="30" spans="1:12" ht="15" x14ac:dyDescent="0.25">
      <c r="A30" s="28" t="s">
        <v>796</v>
      </c>
      <c r="B30" s="6" t="s">
        <v>613</v>
      </c>
      <c r="C30" s="7">
        <v>13300</v>
      </c>
      <c r="D30" s="7"/>
      <c r="E30" s="7">
        <f t="shared" si="4"/>
        <v>13300</v>
      </c>
      <c r="F30" s="7">
        <v>13633</v>
      </c>
      <c r="G30" s="7">
        <f t="shared" si="5"/>
        <v>333</v>
      </c>
      <c r="H30" s="48">
        <f t="shared" si="6"/>
        <v>1.0250375939849623</v>
      </c>
      <c r="I30" s="48">
        <f t="shared" si="7"/>
        <v>0</v>
      </c>
      <c r="J30" s="2"/>
      <c r="L30" s="7"/>
    </row>
    <row r="31" spans="1:12" ht="15" x14ac:dyDescent="0.25">
      <c r="A31" s="28" t="s">
        <v>797</v>
      </c>
      <c r="B31" s="6" t="s">
        <v>73</v>
      </c>
      <c r="C31" s="7">
        <v>975</v>
      </c>
      <c r="D31" s="7"/>
      <c r="E31" s="7">
        <f t="shared" si="4"/>
        <v>975</v>
      </c>
      <c r="F31" s="7">
        <v>975</v>
      </c>
      <c r="G31" s="7">
        <f t="shared" si="5"/>
        <v>0</v>
      </c>
      <c r="H31" s="48">
        <f t="shared" si="6"/>
        <v>1</v>
      </c>
      <c r="I31" s="48">
        <f t="shared" si="7"/>
        <v>0</v>
      </c>
      <c r="J31" s="2"/>
      <c r="L31" s="7"/>
    </row>
    <row r="32" spans="1:12" ht="15" x14ac:dyDescent="0.25">
      <c r="A32" s="21" t="s">
        <v>798</v>
      </c>
      <c r="B32" s="6" t="s">
        <v>75</v>
      </c>
      <c r="C32" s="7">
        <v>3600</v>
      </c>
      <c r="D32" s="7"/>
      <c r="E32" s="7">
        <f t="shared" si="4"/>
        <v>3600</v>
      </c>
      <c r="F32" s="7">
        <v>5095</v>
      </c>
      <c r="G32" s="7">
        <f t="shared" si="5"/>
        <v>1495</v>
      </c>
      <c r="H32" s="48">
        <f t="shared" si="6"/>
        <v>1.4152777777777779</v>
      </c>
      <c r="I32" s="48">
        <f t="shared" si="7"/>
        <v>0</v>
      </c>
      <c r="J32" s="2"/>
      <c r="L32" s="7"/>
    </row>
    <row r="33" spans="1:12" ht="15" x14ac:dyDescent="0.25">
      <c r="A33" s="21" t="s">
        <v>799</v>
      </c>
      <c r="B33" s="6" t="s">
        <v>77</v>
      </c>
      <c r="C33" s="7">
        <v>750</v>
      </c>
      <c r="D33" s="7"/>
      <c r="E33" s="7">
        <f t="shared" si="4"/>
        <v>750</v>
      </c>
      <c r="F33" s="7">
        <v>750</v>
      </c>
      <c r="G33" s="7">
        <f t="shared" si="5"/>
        <v>0</v>
      </c>
      <c r="H33" s="48">
        <f t="shared" si="6"/>
        <v>1</v>
      </c>
      <c r="I33" s="48">
        <f t="shared" si="7"/>
        <v>0</v>
      </c>
      <c r="L33" s="7"/>
    </row>
    <row r="34" spans="1:12" ht="15" x14ac:dyDescent="0.25">
      <c r="A34" s="28" t="s">
        <v>800</v>
      </c>
      <c r="B34" s="6" t="s">
        <v>79</v>
      </c>
      <c r="C34" s="7">
        <v>13800</v>
      </c>
      <c r="D34" s="7"/>
      <c r="E34" s="7">
        <f t="shared" si="4"/>
        <v>13800</v>
      </c>
      <c r="F34" s="7">
        <v>13500</v>
      </c>
      <c r="G34" s="7">
        <f t="shared" si="5"/>
        <v>-300</v>
      </c>
      <c r="H34" s="48">
        <f t="shared" si="6"/>
        <v>0.97826086956521741</v>
      </c>
      <c r="I34" s="48">
        <f t="shared" si="7"/>
        <v>0</v>
      </c>
      <c r="L34" s="7"/>
    </row>
    <row r="35" spans="1:12" ht="15" x14ac:dyDescent="0.25">
      <c r="A35" s="28" t="s">
        <v>801</v>
      </c>
      <c r="B35" s="6" t="s">
        <v>81</v>
      </c>
      <c r="C35" s="7">
        <v>1545</v>
      </c>
      <c r="D35" s="7"/>
      <c r="E35" s="7">
        <f t="shared" si="4"/>
        <v>1545</v>
      </c>
      <c r="F35" s="7">
        <v>1865</v>
      </c>
      <c r="G35" s="7">
        <f t="shared" si="5"/>
        <v>320</v>
      </c>
      <c r="H35" s="48">
        <f t="shared" si="6"/>
        <v>1.2071197411003236</v>
      </c>
      <c r="I35" s="48">
        <f t="shared" si="7"/>
        <v>0</v>
      </c>
      <c r="L35" s="7"/>
    </row>
    <row r="36" spans="1:12" ht="15" x14ac:dyDescent="0.25">
      <c r="A36" s="21" t="s">
        <v>802</v>
      </c>
      <c r="B36" s="6" t="s">
        <v>803</v>
      </c>
      <c r="C36" s="7">
        <v>17000</v>
      </c>
      <c r="D36" s="7"/>
      <c r="E36" s="7">
        <f t="shared" si="4"/>
        <v>17000</v>
      </c>
      <c r="F36" s="7">
        <v>17000</v>
      </c>
      <c r="G36" s="7">
        <f t="shared" si="5"/>
        <v>0</v>
      </c>
      <c r="H36" s="48">
        <f t="shared" si="6"/>
        <v>1</v>
      </c>
      <c r="I36" s="48">
        <f t="shared" si="7"/>
        <v>0</v>
      </c>
      <c r="L36" s="7"/>
    </row>
    <row r="37" spans="1:12" ht="15" x14ac:dyDescent="0.25">
      <c r="A37" s="28" t="s">
        <v>804</v>
      </c>
      <c r="B37" s="6" t="s">
        <v>368</v>
      </c>
      <c r="C37" s="7">
        <v>15000</v>
      </c>
      <c r="D37" s="7"/>
      <c r="E37" s="7">
        <f t="shared" si="4"/>
        <v>15000</v>
      </c>
      <c r="F37" s="7">
        <v>19000</v>
      </c>
      <c r="G37" s="7">
        <f t="shared" si="5"/>
        <v>4000</v>
      </c>
      <c r="H37" s="48">
        <f t="shared" si="6"/>
        <v>1.2666666666666666</v>
      </c>
      <c r="I37" s="48">
        <f t="shared" si="7"/>
        <v>0</v>
      </c>
      <c r="L37" s="7"/>
    </row>
    <row r="38" spans="1:12" ht="15" x14ac:dyDescent="0.25">
      <c r="A38" s="28" t="s">
        <v>805</v>
      </c>
      <c r="B38" s="6" t="s">
        <v>370</v>
      </c>
      <c r="C38" s="7">
        <v>2980</v>
      </c>
      <c r="D38" s="7"/>
      <c r="E38" s="7">
        <f t="shared" si="4"/>
        <v>2980</v>
      </c>
      <c r="F38" s="7">
        <v>2980</v>
      </c>
      <c r="G38" s="7">
        <f t="shared" si="5"/>
        <v>0</v>
      </c>
      <c r="H38" s="48">
        <f t="shared" si="6"/>
        <v>1</v>
      </c>
      <c r="I38" s="48">
        <f t="shared" si="7"/>
        <v>0</v>
      </c>
      <c r="L38" s="7"/>
    </row>
    <row r="39" spans="1:12" ht="15" x14ac:dyDescent="0.25">
      <c r="A39" s="21" t="s">
        <v>806</v>
      </c>
      <c r="B39" s="6" t="s">
        <v>83</v>
      </c>
      <c r="C39" s="7">
        <v>2750</v>
      </c>
      <c r="D39" s="7"/>
      <c r="E39" s="7">
        <f t="shared" si="4"/>
        <v>2750</v>
      </c>
      <c r="F39" s="7">
        <v>2750</v>
      </c>
      <c r="G39" s="7">
        <f t="shared" si="5"/>
        <v>0</v>
      </c>
      <c r="H39" s="48">
        <f t="shared" si="6"/>
        <v>1</v>
      </c>
      <c r="I39" s="48">
        <f t="shared" si="7"/>
        <v>0</v>
      </c>
      <c r="L39" s="7"/>
    </row>
    <row r="40" spans="1:12" ht="15" x14ac:dyDescent="0.25">
      <c r="A40" s="28" t="s">
        <v>807</v>
      </c>
      <c r="B40" s="6" t="s">
        <v>85</v>
      </c>
      <c r="C40" s="7">
        <v>2675</v>
      </c>
      <c r="D40" s="7"/>
      <c r="E40" s="7">
        <f t="shared" si="4"/>
        <v>2675</v>
      </c>
      <c r="F40" s="7">
        <v>2675</v>
      </c>
      <c r="G40" s="7">
        <f t="shared" si="5"/>
        <v>0</v>
      </c>
      <c r="H40" s="48">
        <f t="shared" si="6"/>
        <v>1</v>
      </c>
      <c r="I40" s="48">
        <f t="shared" si="7"/>
        <v>0</v>
      </c>
      <c r="L40" s="7"/>
    </row>
    <row r="41" spans="1:12" ht="15" x14ac:dyDescent="0.25">
      <c r="A41" s="28" t="s">
        <v>808</v>
      </c>
      <c r="B41" s="6" t="s">
        <v>87</v>
      </c>
      <c r="C41" s="7">
        <v>31036</v>
      </c>
      <c r="D41" s="7"/>
      <c r="E41" s="7">
        <f t="shared" si="4"/>
        <v>31036</v>
      </c>
      <c r="F41" s="7">
        <v>32588</v>
      </c>
      <c r="G41" s="7">
        <f t="shared" si="5"/>
        <v>1552</v>
      </c>
      <c r="H41" s="48">
        <f t="shared" si="6"/>
        <v>1.0500064441293981</v>
      </c>
      <c r="I41" s="48">
        <f t="shared" si="7"/>
        <v>0</v>
      </c>
      <c r="L41" s="7"/>
    </row>
    <row r="42" spans="1:12" ht="15" x14ac:dyDescent="0.25">
      <c r="A42" s="26" t="s">
        <v>809</v>
      </c>
      <c r="B42" s="6" t="s">
        <v>810</v>
      </c>
      <c r="C42" s="51">
        <v>13750</v>
      </c>
      <c r="D42" s="7"/>
      <c r="E42" s="7">
        <f t="shared" si="4"/>
        <v>13750</v>
      </c>
      <c r="F42" s="51">
        <v>14500</v>
      </c>
      <c r="G42" s="7">
        <f t="shared" si="5"/>
        <v>750</v>
      </c>
      <c r="H42" s="48">
        <f t="shared" si="6"/>
        <v>1.0545454545454545</v>
      </c>
      <c r="I42" s="48">
        <f t="shared" si="7"/>
        <v>0</v>
      </c>
      <c r="L42" s="51"/>
    </row>
    <row r="43" spans="1:12" ht="15" x14ac:dyDescent="0.25">
      <c r="A43" s="26" t="s">
        <v>811</v>
      </c>
      <c r="B43" s="6" t="s">
        <v>89</v>
      </c>
      <c r="C43" s="7">
        <v>4000</v>
      </c>
      <c r="D43" s="7"/>
      <c r="E43" s="7">
        <f t="shared" si="4"/>
        <v>4000</v>
      </c>
      <c r="F43" s="7">
        <v>4000</v>
      </c>
      <c r="G43" s="7">
        <f t="shared" si="5"/>
        <v>0</v>
      </c>
      <c r="H43" s="48">
        <f t="shared" si="6"/>
        <v>1</v>
      </c>
      <c r="I43" s="48">
        <f t="shared" si="7"/>
        <v>0</v>
      </c>
      <c r="L43" s="7"/>
    </row>
    <row r="44" spans="1:12" s="4" customFormat="1" ht="15" x14ac:dyDescent="0.25">
      <c r="A44" s="21" t="s">
        <v>812</v>
      </c>
      <c r="B44" s="6" t="s">
        <v>629</v>
      </c>
      <c r="C44" s="7">
        <v>750</v>
      </c>
      <c r="D44" s="7"/>
      <c r="E44" s="7">
        <f t="shared" si="4"/>
        <v>750</v>
      </c>
      <c r="F44" s="7">
        <v>50750</v>
      </c>
      <c r="G44" s="7">
        <f t="shared" si="5"/>
        <v>50000</v>
      </c>
      <c r="H44" s="48">
        <f t="shared" si="6"/>
        <v>67.666666666666671</v>
      </c>
      <c r="I44" s="48">
        <f t="shared" si="7"/>
        <v>0</v>
      </c>
      <c r="L44" s="7"/>
    </row>
    <row r="45" spans="1:12" ht="15" x14ac:dyDescent="0.25">
      <c r="A45" s="21" t="s">
        <v>813</v>
      </c>
      <c r="B45" s="6" t="s">
        <v>91</v>
      </c>
      <c r="C45" s="7">
        <v>33300</v>
      </c>
      <c r="D45" s="7"/>
      <c r="E45" s="7">
        <f t="shared" si="4"/>
        <v>33300</v>
      </c>
      <c r="F45" s="7">
        <v>34100</v>
      </c>
      <c r="G45" s="7">
        <f t="shared" si="5"/>
        <v>800</v>
      </c>
      <c r="H45" s="48">
        <f t="shared" si="6"/>
        <v>1.0240240240240239</v>
      </c>
      <c r="I45" s="48">
        <f t="shared" si="7"/>
        <v>0</v>
      </c>
      <c r="L45" s="7"/>
    </row>
    <row r="46" spans="1:12" ht="15" x14ac:dyDescent="0.25">
      <c r="A46" s="28" t="s">
        <v>814</v>
      </c>
      <c r="B46" s="6" t="s">
        <v>95</v>
      </c>
      <c r="C46" s="7">
        <v>2500</v>
      </c>
      <c r="D46" s="7"/>
      <c r="E46" s="7">
        <f t="shared" si="4"/>
        <v>2500</v>
      </c>
      <c r="F46" s="7">
        <v>2500</v>
      </c>
      <c r="G46" s="7">
        <f t="shared" si="5"/>
        <v>0</v>
      </c>
      <c r="H46" s="48">
        <f t="shared" si="6"/>
        <v>1</v>
      </c>
      <c r="I46" s="48">
        <f t="shared" si="7"/>
        <v>0</v>
      </c>
      <c r="L46" s="7"/>
    </row>
    <row r="47" spans="1:12" ht="15" x14ac:dyDescent="0.25">
      <c r="A47" s="28" t="s">
        <v>815</v>
      </c>
      <c r="B47" s="6" t="s">
        <v>97</v>
      </c>
      <c r="C47" s="7">
        <v>500</v>
      </c>
      <c r="D47" s="7"/>
      <c r="E47" s="7">
        <f t="shared" si="4"/>
        <v>500</v>
      </c>
      <c r="F47" s="7">
        <v>500</v>
      </c>
      <c r="G47" s="7">
        <f t="shared" si="5"/>
        <v>0</v>
      </c>
      <c r="H47" s="48">
        <f t="shared" si="6"/>
        <v>1</v>
      </c>
      <c r="I47" s="48">
        <f t="shared" si="7"/>
        <v>0</v>
      </c>
      <c r="L47" s="7"/>
    </row>
    <row r="48" spans="1:12" ht="15" x14ac:dyDescent="0.25">
      <c r="A48" s="26" t="s">
        <v>816</v>
      </c>
      <c r="B48" s="6" t="s">
        <v>817</v>
      </c>
      <c r="C48" s="7">
        <v>8925</v>
      </c>
      <c r="D48" s="7"/>
      <c r="E48" s="7">
        <f t="shared" si="4"/>
        <v>8925</v>
      </c>
      <c r="F48" s="7">
        <v>8925</v>
      </c>
      <c r="G48" s="7">
        <f t="shared" si="5"/>
        <v>0</v>
      </c>
      <c r="H48" s="48">
        <f t="shared" si="6"/>
        <v>1</v>
      </c>
      <c r="I48" s="48">
        <f t="shared" si="7"/>
        <v>0</v>
      </c>
      <c r="L48" s="7"/>
    </row>
    <row r="49" spans="1:12" ht="15" x14ac:dyDescent="0.25">
      <c r="A49" s="28" t="s">
        <v>818</v>
      </c>
      <c r="B49" s="6" t="s">
        <v>819</v>
      </c>
      <c r="C49" s="7">
        <v>10000</v>
      </c>
      <c r="D49" s="7"/>
      <c r="E49" s="7">
        <f t="shared" si="4"/>
        <v>10000</v>
      </c>
      <c r="F49" s="7">
        <v>10000</v>
      </c>
      <c r="G49" s="7">
        <f t="shared" si="5"/>
        <v>0</v>
      </c>
      <c r="H49" s="48">
        <f t="shared" si="6"/>
        <v>1</v>
      </c>
      <c r="I49" s="48">
        <f t="shared" si="7"/>
        <v>0</v>
      </c>
      <c r="L49" s="7"/>
    </row>
    <row r="50" spans="1:12" ht="15" x14ac:dyDescent="0.25">
      <c r="A50" s="26" t="s">
        <v>820</v>
      </c>
      <c r="B50" s="6" t="s">
        <v>821</v>
      </c>
      <c r="C50" s="7">
        <v>176500</v>
      </c>
      <c r="D50" s="7"/>
      <c r="E50" s="7">
        <f t="shared" si="4"/>
        <v>176500</v>
      </c>
      <c r="F50" s="7">
        <v>165000</v>
      </c>
      <c r="G50" s="7">
        <f t="shared" si="5"/>
        <v>-11500</v>
      </c>
      <c r="H50" s="48">
        <f t="shared" si="6"/>
        <v>0.93484419263456087</v>
      </c>
      <c r="I50" s="48">
        <f t="shared" si="7"/>
        <v>0</v>
      </c>
      <c r="K50" s="4"/>
      <c r="L50" s="7"/>
    </row>
    <row r="51" spans="1:12" ht="15" x14ac:dyDescent="0.25">
      <c r="A51" s="26" t="s">
        <v>822</v>
      </c>
      <c r="B51" s="6" t="s">
        <v>823</v>
      </c>
      <c r="C51" s="7">
        <v>189490</v>
      </c>
      <c r="D51" s="7"/>
      <c r="E51" s="7">
        <f t="shared" si="4"/>
        <v>189490</v>
      </c>
      <c r="F51" s="7">
        <v>167469</v>
      </c>
      <c r="G51" s="7">
        <f t="shared" si="5"/>
        <v>-22021</v>
      </c>
      <c r="H51" s="48">
        <f t="shared" si="6"/>
        <v>0.88378806269460131</v>
      </c>
      <c r="I51" s="48">
        <f t="shared" si="7"/>
        <v>0</v>
      </c>
      <c r="L51" s="7"/>
    </row>
    <row r="52" spans="1:12" s="4" customFormat="1" ht="15" x14ac:dyDescent="0.25">
      <c r="A52" s="26" t="s">
        <v>824</v>
      </c>
      <c r="B52" s="6" t="s">
        <v>825</v>
      </c>
      <c r="C52" s="7">
        <v>7000</v>
      </c>
      <c r="D52" s="7"/>
      <c r="E52" s="7">
        <f t="shared" si="4"/>
        <v>7000</v>
      </c>
      <c r="F52" s="7">
        <v>7000</v>
      </c>
      <c r="G52" s="7">
        <f t="shared" si="5"/>
        <v>0</v>
      </c>
      <c r="H52" s="48">
        <f t="shared" si="6"/>
        <v>1</v>
      </c>
      <c r="I52" s="48">
        <f t="shared" si="7"/>
        <v>0</v>
      </c>
      <c r="L52" s="7"/>
    </row>
    <row r="53" spans="1:12" ht="15" x14ac:dyDescent="0.25">
      <c r="A53" s="28" t="s">
        <v>826</v>
      </c>
      <c r="B53" s="6" t="s">
        <v>827</v>
      </c>
      <c r="C53" s="7">
        <v>3109</v>
      </c>
      <c r="D53" s="7"/>
      <c r="E53" s="7">
        <f t="shared" si="4"/>
        <v>3109</v>
      </c>
      <c r="F53" s="7">
        <v>3109</v>
      </c>
      <c r="G53" s="7">
        <f t="shared" si="5"/>
        <v>0</v>
      </c>
      <c r="H53" s="48">
        <f t="shared" si="6"/>
        <v>1</v>
      </c>
      <c r="I53" s="48">
        <f t="shared" si="7"/>
        <v>0</v>
      </c>
      <c r="L53" s="7"/>
    </row>
    <row r="54" spans="1:12" ht="15" x14ac:dyDescent="0.25">
      <c r="A54" s="21" t="s">
        <v>828</v>
      </c>
      <c r="B54" s="6" t="s">
        <v>644</v>
      </c>
      <c r="C54" s="7">
        <v>72350</v>
      </c>
      <c r="D54" s="7"/>
      <c r="E54" s="7">
        <f t="shared" si="4"/>
        <v>72350</v>
      </c>
      <c r="F54" s="7">
        <v>72300</v>
      </c>
      <c r="G54" s="7">
        <f t="shared" si="5"/>
        <v>-50</v>
      </c>
      <c r="H54" s="48">
        <f t="shared" si="6"/>
        <v>0.99930891499654462</v>
      </c>
      <c r="I54" s="48">
        <f t="shared" si="7"/>
        <v>0</v>
      </c>
      <c r="L54" s="7"/>
    </row>
    <row r="55" spans="1:12" ht="15" x14ac:dyDescent="0.25">
      <c r="A55" s="21" t="s">
        <v>829</v>
      </c>
      <c r="B55" s="6" t="s">
        <v>830</v>
      </c>
      <c r="C55" s="7">
        <v>341</v>
      </c>
      <c r="D55" s="7"/>
      <c r="E55" s="7">
        <f t="shared" si="4"/>
        <v>341</v>
      </c>
      <c r="F55" s="7">
        <v>341</v>
      </c>
      <c r="G55" s="7">
        <f t="shared" ref="G55" si="8">F55-C55</f>
        <v>0</v>
      </c>
      <c r="H55" s="48">
        <f t="shared" ref="H55" si="9">IFERROR(F55/C55,0)</f>
        <v>1</v>
      </c>
      <c r="I55" s="48">
        <f t="shared" ref="I55" si="10">IFERROR(F55/D55,0)</f>
        <v>0</v>
      </c>
      <c r="L55" s="7"/>
    </row>
    <row r="56" spans="1:12" ht="15" x14ac:dyDescent="0.25">
      <c r="A56" s="26" t="s">
        <v>831</v>
      </c>
      <c r="B56" s="6" t="s">
        <v>832</v>
      </c>
      <c r="C56" s="7">
        <v>140000</v>
      </c>
      <c r="D56" s="7"/>
      <c r="E56" s="7">
        <f t="shared" si="4"/>
        <v>140000</v>
      </c>
      <c r="F56" s="7">
        <v>145000</v>
      </c>
      <c r="G56" s="7">
        <f t="shared" si="5"/>
        <v>5000</v>
      </c>
      <c r="H56" s="48">
        <f t="shared" si="6"/>
        <v>1.0357142857142858</v>
      </c>
      <c r="I56" s="48">
        <f t="shared" si="7"/>
        <v>0</v>
      </c>
      <c r="L56" s="7"/>
    </row>
    <row r="57" spans="1:12" ht="15" x14ac:dyDescent="0.25">
      <c r="A57" s="26" t="s">
        <v>833</v>
      </c>
      <c r="B57" s="6" t="s">
        <v>834</v>
      </c>
      <c r="C57" s="7">
        <v>115000</v>
      </c>
      <c r="D57" s="7"/>
      <c r="E57" s="7">
        <f t="shared" si="4"/>
        <v>115000</v>
      </c>
      <c r="F57" s="7">
        <v>120750</v>
      </c>
      <c r="G57" s="7">
        <f t="shared" si="5"/>
        <v>5750</v>
      </c>
      <c r="H57" s="48">
        <f t="shared" si="6"/>
        <v>1.05</v>
      </c>
      <c r="I57" s="48">
        <f t="shared" si="7"/>
        <v>0</v>
      </c>
      <c r="L57" s="7"/>
    </row>
    <row r="58" spans="1:12" ht="15" x14ac:dyDescent="0.25">
      <c r="A58" s="26" t="s">
        <v>835</v>
      </c>
      <c r="B58" s="6" t="s">
        <v>836</v>
      </c>
      <c r="C58" s="7">
        <v>0</v>
      </c>
      <c r="D58" s="7"/>
      <c r="E58" s="7">
        <f t="shared" si="4"/>
        <v>0</v>
      </c>
      <c r="F58" s="7"/>
      <c r="G58" s="7">
        <f t="shared" si="5"/>
        <v>0</v>
      </c>
      <c r="H58" s="48">
        <f t="shared" si="6"/>
        <v>0</v>
      </c>
      <c r="I58" s="48">
        <f t="shared" si="7"/>
        <v>0</v>
      </c>
      <c r="L58" s="7"/>
    </row>
    <row r="59" spans="1:12" ht="15" x14ac:dyDescent="0.25">
      <c r="A59" s="26" t="s">
        <v>837</v>
      </c>
      <c r="B59" s="6" t="s">
        <v>291</v>
      </c>
      <c r="C59" s="7">
        <v>0</v>
      </c>
      <c r="D59" s="7"/>
      <c r="E59" s="7">
        <f t="shared" si="4"/>
        <v>0</v>
      </c>
      <c r="F59" s="7"/>
      <c r="G59" s="7">
        <f t="shared" si="5"/>
        <v>0</v>
      </c>
      <c r="H59" s="48">
        <f t="shared" si="6"/>
        <v>0</v>
      </c>
      <c r="I59" s="48">
        <f t="shared" si="7"/>
        <v>0</v>
      </c>
      <c r="L59" s="7"/>
    </row>
    <row r="60" spans="1:12" ht="15" x14ac:dyDescent="0.25">
      <c r="A60" s="21" t="s">
        <v>838</v>
      </c>
      <c r="B60" s="6" t="s">
        <v>293</v>
      </c>
      <c r="C60" s="7">
        <v>452220</v>
      </c>
      <c r="D60" s="7"/>
      <c r="E60" s="7">
        <f t="shared" si="4"/>
        <v>452220</v>
      </c>
      <c r="F60" s="7">
        <v>375220</v>
      </c>
      <c r="G60" s="7">
        <f t="shared" si="5"/>
        <v>-77000</v>
      </c>
      <c r="H60" s="48">
        <f t="shared" si="6"/>
        <v>0.8297288930166733</v>
      </c>
      <c r="I60" s="48">
        <f t="shared" si="7"/>
        <v>0</v>
      </c>
      <c r="J60" s="2">
        <f>F60+F61+50000</f>
        <v>1211374</v>
      </c>
      <c r="L60" s="7"/>
    </row>
    <row r="61" spans="1:12" ht="15" x14ac:dyDescent="0.25">
      <c r="A61" s="21" t="s">
        <v>839</v>
      </c>
      <c r="B61" s="6" t="s">
        <v>840</v>
      </c>
      <c r="C61" s="7">
        <v>683567</v>
      </c>
      <c r="D61" s="7"/>
      <c r="E61" s="7">
        <f t="shared" si="4"/>
        <v>683567</v>
      </c>
      <c r="F61" s="7">
        <v>786154</v>
      </c>
      <c r="G61" s="7">
        <f t="shared" si="5"/>
        <v>102587</v>
      </c>
      <c r="H61" s="48">
        <f t="shared" si="6"/>
        <v>1.1500759984024975</v>
      </c>
      <c r="I61" s="48">
        <f t="shared" si="7"/>
        <v>0</v>
      </c>
      <c r="J61" s="2"/>
      <c r="K61" s="2"/>
      <c r="L61" s="7"/>
    </row>
    <row r="62" spans="1:12" ht="15" x14ac:dyDescent="0.25">
      <c r="A62" s="21" t="s">
        <v>841</v>
      </c>
      <c r="B62" s="6" t="s">
        <v>117</v>
      </c>
      <c r="C62" s="7">
        <v>0</v>
      </c>
      <c r="D62" s="7"/>
      <c r="E62" s="7">
        <f t="shared" si="4"/>
        <v>0</v>
      </c>
      <c r="F62" s="7"/>
      <c r="G62" s="7">
        <f t="shared" ref="G62" si="11">F62-C62</f>
        <v>0</v>
      </c>
      <c r="H62" s="48">
        <f t="shared" si="6"/>
        <v>0</v>
      </c>
      <c r="I62" s="48">
        <f t="shared" si="7"/>
        <v>0</v>
      </c>
      <c r="J62" s="2"/>
      <c r="K62" s="2"/>
      <c r="L62" s="7"/>
    </row>
    <row r="63" spans="1:12" ht="15" x14ac:dyDescent="0.25">
      <c r="A63" s="26" t="s">
        <v>842</v>
      </c>
      <c r="B63" s="6" t="s">
        <v>449</v>
      </c>
      <c r="C63" s="7">
        <v>0</v>
      </c>
      <c r="D63" s="7"/>
      <c r="E63" s="7">
        <f t="shared" si="4"/>
        <v>0</v>
      </c>
      <c r="F63" s="7"/>
      <c r="G63" s="7">
        <f t="shared" si="5"/>
        <v>0</v>
      </c>
      <c r="H63" s="48">
        <f t="shared" si="6"/>
        <v>0</v>
      </c>
      <c r="I63" s="48">
        <f t="shared" si="7"/>
        <v>0</v>
      </c>
      <c r="L63" s="7"/>
    </row>
    <row r="64" spans="1:12" ht="15" x14ac:dyDescent="0.25">
      <c r="A64" s="26"/>
      <c r="B64" s="6"/>
      <c r="C64" s="7"/>
      <c r="D64" s="7"/>
      <c r="E64" s="7"/>
      <c r="F64" s="7"/>
      <c r="G64" s="7"/>
      <c r="H64" s="48"/>
      <c r="I64" s="48"/>
      <c r="L64" s="7"/>
    </row>
    <row r="65" spans="1:13" ht="15" x14ac:dyDescent="0.25">
      <c r="A65" s="24" t="s">
        <v>162</v>
      </c>
      <c r="B65" s="6"/>
      <c r="C65" s="7">
        <f>SUM(C22:C63)</f>
        <v>2858329</v>
      </c>
      <c r="D65" s="7">
        <f>SUM(D22:D63)</f>
        <v>0</v>
      </c>
      <c r="E65" s="7">
        <f>SUM(E22:E63)</f>
        <v>2858329</v>
      </c>
      <c r="F65" s="7">
        <f>SUM(F22:F63)</f>
        <v>2984589</v>
      </c>
      <c r="G65" s="7">
        <f>SUM(G22:G63)</f>
        <v>126260</v>
      </c>
      <c r="H65" s="48">
        <f t="shared" si="6"/>
        <v>1.0441726617194871</v>
      </c>
      <c r="I65" s="48">
        <f t="shared" si="7"/>
        <v>0</v>
      </c>
      <c r="J65" s="4" t="s">
        <v>598</v>
      </c>
      <c r="L65" s="7"/>
    </row>
    <row r="66" spans="1:13" ht="15" x14ac:dyDescent="0.25">
      <c r="A66" s="6"/>
      <c r="B66" s="6"/>
      <c r="C66" s="7"/>
      <c r="D66" s="7"/>
      <c r="E66" s="7"/>
      <c r="F66" s="7"/>
      <c r="G66" s="7"/>
      <c r="H66" s="48"/>
      <c r="I66" s="48"/>
      <c r="L66" s="7"/>
    </row>
    <row r="67" spans="1:13" ht="15" x14ac:dyDescent="0.25">
      <c r="A67" s="26" t="s">
        <v>166</v>
      </c>
      <c r="B67" s="6"/>
      <c r="C67" s="7">
        <f>SUM(C18+C65)</f>
        <v>1676565</v>
      </c>
      <c r="D67" s="7">
        <f>SUM(D18+D65)</f>
        <v>0</v>
      </c>
      <c r="E67" s="7">
        <f>SUM(E18+E65)</f>
        <v>1676565</v>
      </c>
      <c r="F67" s="7">
        <f>SUM(F18+F65)</f>
        <v>1727439</v>
      </c>
      <c r="G67" s="7">
        <f>G18+G65</f>
        <v>50874</v>
      </c>
      <c r="H67" s="48">
        <f t="shared" si="6"/>
        <v>1.0303441858800584</v>
      </c>
      <c r="I67" s="48">
        <f t="shared" si="7"/>
        <v>0</v>
      </c>
      <c r="L67" s="7"/>
      <c r="M67" s="2"/>
    </row>
  </sheetData>
  <mergeCells count="1">
    <mergeCell ref="A1:G1"/>
  </mergeCells>
  <phoneticPr fontId="1" type="noConversion"/>
  <conditionalFormatting sqref="A7:A14 A22:A59 A63:A65 A67">
    <cfRule type="expression" dxfId="42" priority="1" stopIfTrue="1">
      <formula>AND(COUNTIF($A$1:$A$354, A7)&gt;1,NOT(ISBLANK(A7)))</formula>
    </cfRule>
  </conditionalFormatting>
  <conditionalFormatting sqref="A15:A16">
    <cfRule type="expression" dxfId="41" priority="481" stopIfTrue="1">
      <formula>AND(COUNTIF($A$1:$A$349, A15)&gt;1,NOT(ISBLANK(A15)))</formula>
    </cfRule>
  </conditionalFormatting>
  <conditionalFormatting sqref="A60:A62">
    <cfRule type="expression" dxfId="40" priority="59" stopIfTrue="1">
      <formula>AND(COUNTIF($A$1:$A$351, A60)&gt;1,NOT(ISBLANK(A60)))</formula>
    </cfRule>
  </conditionalFormatting>
  <pageMargins left="0.74803149606299213" right="0.74803149606299213" top="0.98425196850393704" bottom="0.98425196850393704" header="0.51181102362204722" footer="0.51181102362204722"/>
  <pageSetup scale="60" orientation="portrait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79998168889431442"/>
  </sheetPr>
  <dimension ref="A1:K58"/>
  <sheetViews>
    <sheetView zoomScaleNormal="100" workbookViewId="0">
      <pane ySplit="3" topLeftCell="A25" activePane="bottomLeft" state="frozen"/>
      <selection activeCell="C40" sqref="C40"/>
      <selection pane="bottomLeft" activeCell="F38" sqref="F38"/>
    </sheetView>
  </sheetViews>
  <sheetFormatPr defaultRowHeight="13.2" x14ac:dyDescent="0.25"/>
  <cols>
    <col min="1" max="1" width="22.33203125" customWidth="1"/>
    <col min="2" max="2" width="40.6640625" customWidth="1"/>
    <col min="3" max="3" width="13.5546875" style="2" customWidth="1"/>
    <col min="4" max="4" width="16.6640625" style="2" customWidth="1"/>
    <col min="5" max="7" width="13.5546875" style="2" customWidth="1"/>
    <col min="8" max="8" width="13.5546875" style="47" customWidth="1"/>
    <col min="9" max="9" width="15.44140625" style="47" customWidth="1"/>
  </cols>
  <sheetData>
    <row r="1" spans="1:9" ht="15.6" x14ac:dyDescent="0.3">
      <c r="A1" s="289" t="s">
        <v>19</v>
      </c>
      <c r="B1" s="289"/>
      <c r="C1" s="289"/>
      <c r="D1" s="289"/>
      <c r="E1" s="289"/>
      <c r="F1" s="289"/>
      <c r="G1" s="289"/>
      <c r="H1" s="50"/>
      <c r="I1" s="46"/>
    </row>
    <row r="2" spans="1:9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9" ht="60.6" x14ac:dyDescent="0.3">
      <c r="A3" s="41"/>
      <c r="B3" s="69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9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9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9" ht="15" x14ac:dyDescent="0.25">
      <c r="A6" s="10"/>
      <c r="B6" s="6"/>
      <c r="C6" s="7"/>
      <c r="D6" s="7"/>
      <c r="E6" s="7"/>
      <c r="F6" s="7"/>
      <c r="G6" s="7"/>
      <c r="H6" s="48"/>
      <c r="I6" s="48"/>
    </row>
    <row r="7" spans="1:9" ht="15" x14ac:dyDescent="0.25">
      <c r="A7" s="10" t="s">
        <v>843</v>
      </c>
      <c r="B7" s="6" t="s">
        <v>44</v>
      </c>
      <c r="C7" s="7">
        <v>0</v>
      </c>
      <c r="D7" s="7"/>
      <c r="E7" s="7">
        <f>C7-D7</f>
        <v>0</v>
      </c>
      <c r="F7" s="7">
        <v>0</v>
      </c>
      <c r="G7" s="7">
        <f t="shared" ref="G7:G8" si="0">F7-C7</f>
        <v>0</v>
      </c>
      <c r="H7" s="48">
        <f>IFERROR(F7/C7,0)</f>
        <v>0</v>
      </c>
      <c r="I7" s="48">
        <f>IFERROR(F7/D7,0)</f>
        <v>0</v>
      </c>
    </row>
    <row r="8" spans="1:9" ht="15" x14ac:dyDescent="0.25">
      <c r="A8" s="10" t="s">
        <v>844</v>
      </c>
      <c r="B8" s="6" t="s">
        <v>46</v>
      </c>
      <c r="C8" s="7">
        <v>0</v>
      </c>
      <c r="D8" s="7"/>
      <c r="E8" s="7">
        <f t="shared" ref="E8" si="1">C8-D8</f>
        <v>0</v>
      </c>
      <c r="F8" s="7">
        <v>0</v>
      </c>
      <c r="G8" s="7">
        <f t="shared" si="0"/>
        <v>0</v>
      </c>
      <c r="H8" s="48">
        <f>IFERROR(F8/C8,0)</f>
        <v>0</v>
      </c>
      <c r="I8" s="48">
        <f t="shared" ref="I8:I18" si="2">IFERROR(F8/D8,0)</f>
        <v>0</v>
      </c>
    </row>
    <row r="9" spans="1:9" ht="15" x14ac:dyDescent="0.25">
      <c r="A9" s="22" t="s">
        <v>845</v>
      </c>
      <c r="B9" s="6" t="s">
        <v>846</v>
      </c>
      <c r="C9" s="7">
        <v>-12000</v>
      </c>
      <c r="D9" s="7"/>
      <c r="E9" s="7">
        <f>C9-D9</f>
        <v>-12000</v>
      </c>
      <c r="F9" s="7">
        <v>-12000</v>
      </c>
      <c r="G9" s="7">
        <f>F9-C9</f>
        <v>0</v>
      </c>
      <c r="H9" s="48">
        <f>IFERROR(F9/C9,0)</f>
        <v>1</v>
      </c>
      <c r="I9" s="48">
        <f>IFERROR(D9/F9,0)</f>
        <v>0</v>
      </c>
    </row>
    <row r="10" spans="1:9" ht="15" x14ac:dyDescent="0.25">
      <c r="A10" s="22" t="s">
        <v>847</v>
      </c>
      <c r="B10" s="6" t="s">
        <v>848</v>
      </c>
      <c r="C10" s="7">
        <v>-700</v>
      </c>
      <c r="D10" s="7"/>
      <c r="E10" s="7">
        <f t="shared" ref="E10:E16" si="3">C10-D10</f>
        <v>-700</v>
      </c>
      <c r="F10" s="7">
        <v>-500</v>
      </c>
      <c r="G10" s="7">
        <f t="shared" ref="G10:G16" si="4">F10-C10</f>
        <v>200</v>
      </c>
      <c r="H10" s="48">
        <f t="shared" ref="H10" si="5">IFERROR(F10/C10,0)</f>
        <v>0.7142857142857143</v>
      </c>
      <c r="I10" s="48">
        <f t="shared" si="2"/>
        <v>0</v>
      </c>
    </row>
    <row r="11" spans="1:9" ht="15" x14ac:dyDescent="0.25">
      <c r="A11" s="22" t="s">
        <v>849</v>
      </c>
      <c r="B11" s="6" t="s">
        <v>850</v>
      </c>
      <c r="C11" s="7">
        <v>-56400</v>
      </c>
      <c r="D11" s="7"/>
      <c r="E11" s="7">
        <f t="shared" si="3"/>
        <v>-56400</v>
      </c>
      <c r="F11" s="7">
        <v>-54065</v>
      </c>
      <c r="G11" s="7">
        <f>F11-C11</f>
        <v>2335</v>
      </c>
      <c r="H11" s="48">
        <f>IFERROR(F11/C11,0)</f>
        <v>0.95859929078014183</v>
      </c>
      <c r="I11" s="48">
        <f t="shared" si="2"/>
        <v>0</v>
      </c>
    </row>
    <row r="12" spans="1:9" ht="15" x14ac:dyDescent="0.25">
      <c r="A12" s="22" t="s">
        <v>851</v>
      </c>
      <c r="B12" s="6" t="s">
        <v>852</v>
      </c>
      <c r="C12" s="7">
        <v>-400</v>
      </c>
      <c r="D12" s="7"/>
      <c r="E12" s="7">
        <f t="shared" si="3"/>
        <v>-400</v>
      </c>
      <c r="F12" s="7">
        <v>-400</v>
      </c>
      <c r="G12" s="7">
        <f t="shared" si="4"/>
        <v>0</v>
      </c>
      <c r="H12" s="48">
        <f>IFERROR(F12/C12,0)</f>
        <v>1</v>
      </c>
      <c r="I12" s="48">
        <f t="shared" si="2"/>
        <v>0</v>
      </c>
    </row>
    <row r="13" spans="1:9" ht="15" x14ac:dyDescent="0.25">
      <c r="A13" s="22" t="s">
        <v>853</v>
      </c>
      <c r="B13" s="6" t="s">
        <v>854</v>
      </c>
      <c r="C13" s="7">
        <v>0</v>
      </c>
      <c r="D13" s="7"/>
      <c r="E13" s="7">
        <f t="shared" si="3"/>
        <v>0</v>
      </c>
      <c r="F13" s="7">
        <v>0</v>
      </c>
      <c r="G13" s="7">
        <f t="shared" si="4"/>
        <v>0</v>
      </c>
      <c r="H13" s="48">
        <f>IFERROR(F13/C13,0)</f>
        <v>0</v>
      </c>
      <c r="I13" s="48">
        <f t="shared" si="2"/>
        <v>0</v>
      </c>
    </row>
    <row r="14" spans="1:9" ht="15" x14ac:dyDescent="0.25">
      <c r="A14" s="22" t="s">
        <v>855</v>
      </c>
      <c r="B14" s="6" t="s">
        <v>856</v>
      </c>
      <c r="C14" s="7">
        <v>-27650</v>
      </c>
      <c r="D14" s="7"/>
      <c r="E14" s="7">
        <f t="shared" si="3"/>
        <v>-27650</v>
      </c>
      <c r="F14" s="7">
        <v>-150</v>
      </c>
      <c r="G14" s="7">
        <f t="shared" si="4"/>
        <v>27500</v>
      </c>
      <c r="H14" s="48">
        <f t="shared" ref="H14:H18" si="6">IFERROR(F14/C14,0)</f>
        <v>5.4249547920433997E-3</v>
      </c>
      <c r="I14" s="48">
        <f t="shared" si="2"/>
        <v>0</v>
      </c>
    </row>
    <row r="15" spans="1:9" ht="15" x14ac:dyDescent="0.25">
      <c r="A15" s="22" t="s">
        <v>857</v>
      </c>
      <c r="B15" s="6" t="s">
        <v>858</v>
      </c>
      <c r="C15" s="7">
        <v>-25000</v>
      </c>
      <c r="D15" s="7"/>
      <c r="E15" s="7">
        <f t="shared" si="3"/>
        <v>-25000</v>
      </c>
      <c r="F15" s="7">
        <v>-20000</v>
      </c>
      <c r="G15" s="7">
        <f t="shared" si="4"/>
        <v>5000</v>
      </c>
      <c r="H15" s="48">
        <f t="shared" si="6"/>
        <v>0.8</v>
      </c>
      <c r="I15" s="48">
        <f t="shared" si="2"/>
        <v>0</v>
      </c>
    </row>
    <row r="16" spans="1:9" ht="15" x14ac:dyDescent="0.25">
      <c r="A16" s="21" t="s">
        <v>859</v>
      </c>
      <c r="B16" s="6" t="s">
        <v>320</v>
      </c>
      <c r="C16" s="7">
        <v>-55313</v>
      </c>
      <c r="D16" s="7"/>
      <c r="E16" s="7">
        <f t="shared" si="3"/>
        <v>-55313</v>
      </c>
      <c r="F16" s="7">
        <v>-71411</v>
      </c>
      <c r="G16" s="7">
        <f t="shared" si="4"/>
        <v>-16098</v>
      </c>
      <c r="H16" s="48">
        <f t="shared" si="6"/>
        <v>1.2910346573138323</v>
      </c>
      <c r="I16" s="48">
        <f t="shared" si="2"/>
        <v>0</v>
      </c>
    </row>
    <row r="17" spans="1:11" ht="15" x14ac:dyDescent="0.25">
      <c r="A17" s="6"/>
      <c r="B17" s="6"/>
      <c r="C17" s="7"/>
      <c r="D17" s="7"/>
      <c r="E17" s="7"/>
      <c r="F17" s="7"/>
      <c r="G17" s="7"/>
      <c r="H17" s="48"/>
      <c r="I17" s="48"/>
    </row>
    <row r="18" spans="1:11" ht="15" x14ac:dyDescent="0.25">
      <c r="A18" s="10" t="s">
        <v>49</v>
      </c>
      <c r="B18" s="6"/>
      <c r="C18" s="7">
        <f>SUM(C7:C17)</f>
        <v>-177463</v>
      </c>
      <c r="D18" s="7">
        <f>SUM(D7:D17)</f>
        <v>0</v>
      </c>
      <c r="E18" s="7">
        <f>SUM(E7:E17)</f>
        <v>-177463</v>
      </c>
      <c r="F18" s="7">
        <f>SUM(F6:F17)</f>
        <v>-158526</v>
      </c>
      <c r="G18" s="7">
        <f>SUM(G7:G17)</f>
        <v>18937</v>
      </c>
      <c r="H18" s="48">
        <f t="shared" si="6"/>
        <v>0.89329043237181838</v>
      </c>
      <c r="I18" s="48">
        <f t="shared" si="2"/>
        <v>0</v>
      </c>
    </row>
    <row r="19" spans="1:11" ht="15" x14ac:dyDescent="0.25">
      <c r="A19" s="6"/>
      <c r="B19" s="6"/>
      <c r="C19" s="7"/>
      <c r="D19" s="7"/>
      <c r="E19" s="7"/>
      <c r="F19" s="7"/>
      <c r="G19" s="7"/>
      <c r="H19" s="48"/>
      <c r="I19" s="48"/>
    </row>
    <row r="20" spans="1:11" ht="15" x14ac:dyDescent="0.25">
      <c r="A20" s="10" t="s">
        <v>50</v>
      </c>
      <c r="B20" s="6"/>
      <c r="C20" s="7"/>
      <c r="D20" s="7"/>
      <c r="E20" s="7"/>
      <c r="F20" s="7"/>
      <c r="G20" s="7"/>
      <c r="H20" s="48"/>
      <c r="I20" s="48"/>
    </row>
    <row r="21" spans="1:11" ht="15" x14ac:dyDescent="0.25">
      <c r="A21" s="6"/>
      <c r="B21" s="6"/>
      <c r="C21" s="7"/>
      <c r="D21" s="7"/>
      <c r="E21" s="7"/>
      <c r="F21" s="7"/>
      <c r="G21" s="7"/>
      <c r="H21" s="48"/>
      <c r="I21" s="48"/>
    </row>
    <row r="22" spans="1:11" ht="15" x14ac:dyDescent="0.25">
      <c r="A22" s="26" t="s">
        <v>860</v>
      </c>
      <c r="B22" s="6" t="s">
        <v>53</v>
      </c>
      <c r="C22" s="7">
        <v>30535</v>
      </c>
      <c r="D22" s="7"/>
      <c r="E22" s="7">
        <f t="shared" ref="E22:E54" si="7">C22-D22</f>
        <v>30535</v>
      </c>
      <c r="F22" s="7">
        <v>86259</v>
      </c>
      <c r="G22" s="7">
        <f t="shared" ref="G22:G54" si="8">F22-C22</f>
        <v>55724</v>
      </c>
      <c r="H22" s="48">
        <f t="shared" ref="H22:H58" si="9">IFERROR(F22/C22,0)</f>
        <v>2.8249222204028164</v>
      </c>
      <c r="I22" s="48">
        <f t="shared" ref="I22:I58" si="10">IFERROR(F22/D22,0)</f>
        <v>0</v>
      </c>
    </row>
    <row r="23" spans="1:11" ht="15" x14ac:dyDescent="0.25">
      <c r="A23" s="26" t="s">
        <v>861</v>
      </c>
      <c r="B23" s="6" t="s">
        <v>601</v>
      </c>
      <c r="C23" s="7">
        <v>143747</v>
      </c>
      <c r="D23" s="7"/>
      <c r="E23" s="7">
        <f t="shared" si="7"/>
        <v>143747</v>
      </c>
      <c r="F23" s="7">
        <v>107657</v>
      </c>
      <c r="G23" s="7">
        <f t="shared" si="8"/>
        <v>-36090</v>
      </c>
      <c r="H23" s="48">
        <f t="shared" si="9"/>
        <v>0.74893389079424266</v>
      </c>
      <c r="I23" s="48">
        <f t="shared" si="10"/>
        <v>0</v>
      </c>
    </row>
    <row r="24" spans="1:11" ht="15" x14ac:dyDescent="0.25">
      <c r="A24" s="26" t="s">
        <v>862</v>
      </c>
      <c r="B24" s="6" t="s">
        <v>122</v>
      </c>
      <c r="C24" s="7">
        <v>11369</v>
      </c>
      <c r="D24" s="7"/>
      <c r="E24" s="7">
        <f t="shared" si="7"/>
        <v>11369</v>
      </c>
      <c r="F24" s="7">
        <v>12542</v>
      </c>
      <c r="G24" s="7">
        <f t="shared" si="8"/>
        <v>1173</v>
      </c>
      <c r="H24" s="48">
        <f t="shared" si="9"/>
        <v>1.1031753012578063</v>
      </c>
      <c r="I24" s="48">
        <f t="shared" si="10"/>
        <v>0</v>
      </c>
    </row>
    <row r="25" spans="1:11" ht="15" x14ac:dyDescent="0.25">
      <c r="A25" s="26" t="s">
        <v>863</v>
      </c>
      <c r="B25" s="6" t="s">
        <v>604</v>
      </c>
      <c r="C25" s="7">
        <v>3399</v>
      </c>
      <c r="D25" s="7"/>
      <c r="E25" s="7">
        <f t="shared" si="7"/>
        <v>3399</v>
      </c>
      <c r="F25" s="7">
        <v>3782</v>
      </c>
      <c r="G25" s="7">
        <f t="shared" si="8"/>
        <v>383</v>
      </c>
      <c r="H25" s="48">
        <f t="shared" si="9"/>
        <v>1.1126802000588409</v>
      </c>
      <c r="I25" s="48">
        <f t="shared" si="10"/>
        <v>0</v>
      </c>
      <c r="K25" s="57"/>
    </row>
    <row r="26" spans="1:11" ht="15" x14ac:dyDescent="0.25">
      <c r="A26" s="26" t="s">
        <v>864</v>
      </c>
      <c r="B26" s="6" t="s">
        <v>606</v>
      </c>
      <c r="C26" s="7">
        <v>4442</v>
      </c>
      <c r="D26" s="7"/>
      <c r="E26" s="7">
        <f t="shared" si="7"/>
        <v>4442</v>
      </c>
      <c r="F26" s="7">
        <v>5118</v>
      </c>
      <c r="G26" s="7">
        <f t="shared" si="8"/>
        <v>676</v>
      </c>
      <c r="H26" s="48">
        <f t="shared" si="9"/>
        <v>1.1521837010355696</v>
      </c>
      <c r="I26" s="48">
        <f t="shared" si="10"/>
        <v>0</v>
      </c>
    </row>
    <row r="27" spans="1:11" ht="15" x14ac:dyDescent="0.25">
      <c r="A27" s="26" t="s">
        <v>865</v>
      </c>
      <c r="B27" s="6" t="s">
        <v>608</v>
      </c>
      <c r="C27" s="7">
        <v>6501</v>
      </c>
      <c r="D27" s="7"/>
      <c r="E27" s="7">
        <f t="shared" si="7"/>
        <v>6501</v>
      </c>
      <c r="F27" s="7">
        <v>4841</v>
      </c>
      <c r="G27" s="7">
        <f t="shared" si="8"/>
        <v>-1660</v>
      </c>
      <c r="H27" s="48">
        <f t="shared" si="9"/>
        <v>0.74465466851253659</v>
      </c>
      <c r="I27" s="48">
        <f t="shared" si="10"/>
        <v>0</v>
      </c>
    </row>
    <row r="28" spans="1:11" ht="15" x14ac:dyDescent="0.25">
      <c r="A28" s="26" t="s">
        <v>866</v>
      </c>
      <c r="B28" s="6" t="s">
        <v>610</v>
      </c>
      <c r="C28" s="7">
        <v>0</v>
      </c>
      <c r="D28" s="7"/>
      <c r="E28" s="7">
        <f t="shared" si="7"/>
        <v>0</v>
      </c>
      <c r="F28" s="7">
        <v>4989</v>
      </c>
      <c r="G28" s="7">
        <f t="shared" si="8"/>
        <v>4989</v>
      </c>
      <c r="H28" s="48">
        <f t="shared" si="9"/>
        <v>0</v>
      </c>
      <c r="I28" s="48">
        <f t="shared" si="10"/>
        <v>0</v>
      </c>
    </row>
    <row r="29" spans="1:11" ht="15" x14ac:dyDescent="0.25">
      <c r="A29" s="26" t="s">
        <v>867</v>
      </c>
      <c r="B29" s="6" t="s">
        <v>868</v>
      </c>
      <c r="C29" s="7">
        <v>0</v>
      </c>
      <c r="D29" s="7"/>
      <c r="E29" s="7">
        <f t="shared" si="7"/>
        <v>0</v>
      </c>
      <c r="F29" s="7">
        <v>0</v>
      </c>
      <c r="G29" s="7">
        <f t="shared" si="8"/>
        <v>0</v>
      </c>
      <c r="H29" s="48">
        <f t="shared" si="9"/>
        <v>0</v>
      </c>
      <c r="I29" s="48">
        <f t="shared" si="10"/>
        <v>0</v>
      </c>
    </row>
    <row r="30" spans="1:11" ht="15" x14ac:dyDescent="0.25">
      <c r="A30" s="26" t="s">
        <v>869</v>
      </c>
      <c r="B30" s="6" t="s">
        <v>613</v>
      </c>
      <c r="C30" s="7">
        <v>2000</v>
      </c>
      <c r="D30" s="7"/>
      <c r="E30" s="7">
        <f t="shared" si="7"/>
        <v>2000</v>
      </c>
      <c r="F30" s="7">
        <v>2000</v>
      </c>
      <c r="G30" s="7">
        <f t="shared" si="8"/>
        <v>0</v>
      </c>
      <c r="H30" s="48">
        <f t="shared" si="9"/>
        <v>1</v>
      </c>
      <c r="I30" s="48">
        <f t="shared" si="10"/>
        <v>0</v>
      </c>
    </row>
    <row r="31" spans="1:11" ht="15" x14ac:dyDescent="0.25">
      <c r="A31" s="26" t="s">
        <v>870</v>
      </c>
      <c r="B31" s="6" t="s">
        <v>79</v>
      </c>
      <c r="C31" s="7">
        <v>1200</v>
      </c>
      <c r="D31" s="7"/>
      <c r="E31" s="7">
        <f t="shared" si="7"/>
        <v>1200</v>
      </c>
      <c r="F31" s="7">
        <v>1255</v>
      </c>
      <c r="G31" s="7">
        <f t="shared" si="8"/>
        <v>55</v>
      </c>
      <c r="H31" s="48">
        <f t="shared" si="9"/>
        <v>1.0458333333333334</v>
      </c>
      <c r="I31" s="48">
        <f t="shared" si="10"/>
        <v>0</v>
      </c>
    </row>
    <row r="32" spans="1:11" ht="15" x14ac:dyDescent="0.25">
      <c r="A32" s="26" t="s">
        <v>871</v>
      </c>
      <c r="B32" s="6" t="s">
        <v>368</v>
      </c>
      <c r="C32" s="7">
        <v>3000</v>
      </c>
      <c r="D32" s="7"/>
      <c r="E32" s="7">
        <f t="shared" si="7"/>
        <v>3000</v>
      </c>
      <c r="F32" s="7">
        <v>3250</v>
      </c>
      <c r="G32" s="7">
        <f t="shared" si="8"/>
        <v>250</v>
      </c>
      <c r="H32" s="48">
        <f t="shared" si="9"/>
        <v>1.0833333333333333</v>
      </c>
      <c r="I32" s="48">
        <f t="shared" si="10"/>
        <v>0</v>
      </c>
    </row>
    <row r="33" spans="1:9" ht="15" x14ac:dyDescent="0.25">
      <c r="A33" s="26" t="s">
        <v>872</v>
      </c>
      <c r="B33" s="6" t="s">
        <v>873</v>
      </c>
      <c r="C33" s="7">
        <v>262072</v>
      </c>
      <c r="D33" s="7"/>
      <c r="E33" s="7">
        <f t="shared" si="7"/>
        <v>262072</v>
      </c>
      <c r="F33" s="7">
        <v>262545</v>
      </c>
      <c r="G33" s="7">
        <f t="shared" si="8"/>
        <v>473</v>
      </c>
      <c r="H33" s="48">
        <f t="shared" si="9"/>
        <v>1.0018048475228181</v>
      </c>
      <c r="I33" s="48">
        <f t="shared" si="10"/>
        <v>0</v>
      </c>
    </row>
    <row r="34" spans="1:9" ht="15" x14ac:dyDescent="0.25">
      <c r="A34" s="26" t="s">
        <v>874</v>
      </c>
      <c r="B34" s="6" t="s">
        <v>875</v>
      </c>
      <c r="C34" s="7">
        <v>71000</v>
      </c>
      <c r="D34" s="7"/>
      <c r="E34" s="7">
        <f t="shared" si="7"/>
        <v>71000</v>
      </c>
      <c r="F34" s="7">
        <v>71000</v>
      </c>
      <c r="G34" s="7">
        <f t="shared" si="8"/>
        <v>0</v>
      </c>
      <c r="H34" s="48">
        <f t="shared" si="9"/>
        <v>1</v>
      </c>
      <c r="I34" s="48">
        <f t="shared" si="10"/>
        <v>0</v>
      </c>
    </row>
    <row r="35" spans="1:9" s="4" customFormat="1" ht="15" x14ac:dyDescent="0.25">
      <c r="A35" s="26" t="s">
        <v>876</v>
      </c>
      <c r="B35" s="6" t="s">
        <v>925</v>
      </c>
      <c r="C35" s="7">
        <v>0</v>
      </c>
      <c r="D35" s="7"/>
      <c r="E35" s="7">
        <f t="shared" si="7"/>
        <v>0</v>
      </c>
      <c r="F35" s="7">
        <v>23000</v>
      </c>
      <c r="G35" s="7">
        <f t="shared" si="8"/>
        <v>23000</v>
      </c>
      <c r="H35" s="48">
        <f t="shared" si="9"/>
        <v>0</v>
      </c>
      <c r="I35" s="48">
        <f t="shared" si="10"/>
        <v>0</v>
      </c>
    </row>
    <row r="36" spans="1:9" ht="15" x14ac:dyDescent="0.25">
      <c r="A36" s="26" t="s">
        <v>877</v>
      </c>
      <c r="B36" s="6" t="s">
        <v>85</v>
      </c>
      <c r="C36" s="7">
        <v>1600</v>
      </c>
      <c r="D36" s="7"/>
      <c r="E36" s="7">
        <f t="shared" si="7"/>
        <v>1600</v>
      </c>
      <c r="F36" s="7">
        <v>2544</v>
      </c>
      <c r="G36" s="7">
        <f t="shared" si="8"/>
        <v>944</v>
      </c>
      <c r="H36" s="48">
        <f t="shared" si="9"/>
        <v>1.59</v>
      </c>
      <c r="I36" s="48">
        <f t="shared" si="10"/>
        <v>0</v>
      </c>
    </row>
    <row r="37" spans="1:9" ht="15" x14ac:dyDescent="0.25">
      <c r="A37" s="26" t="s">
        <v>878</v>
      </c>
      <c r="B37" s="6" t="s">
        <v>87</v>
      </c>
      <c r="C37" s="7">
        <v>1100</v>
      </c>
      <c r="D37" s="7"/>
      <c r="E37" s="7">
        <f t="shared" si="7"/>
        <v>1100</v>
      </c>
      <c r="F37" s="7">
        <v>1155</v>
      </c>
      <c r="G37" s="7">
        <f t="shared" si="8"/>
        <v>55</v>
      </c>
      <c r="H37" s="48">
        <f t="shared" si="9"/>
        <v>1.05</v>
      </c>
      <c r="I37" s="48">
        <f t="shared" si="10"/>
        <v>0</v>
      </c>
    </row>
    <row r="38" spans="1:9" ht="15" x14ac:dyDescent="0.25">
      <c r="A38" s="26" t="s">
        <v>879</v>
      </c>
      <c r="B38" s="6" t="s">
        <v>629</v>
      </c>
      <c r="C38" s="7">
        <v>124310</v>
      </c>
      <c r="D38" s="7"/>
      <c r="E38" s="7">
        <f t="shared" si="7"/>
        <v>124310</v>
      </c>
      <c r="F38" s="7">
        <v>138573</v>
      </c>
      <c r="G38" s="7">
        <f t="shared" si="8"/>
        <v>14263</v>
      </c>
      <c r="H38" s="48">
        <f t="shared" si="9"/>
        <v>1.1147373501729547</v>
      </c>
      <c r="I38" s="48">
        <f t="shared" si="10"/>
        <v>0</v>
      </c>
    </row>
    <row r="39" spans="1:9" ht="15" x14ac:dyDescent="0.25">
      <c r="A39" s="26" t="s">
        <v>880</v>
      </c>
      <c r="B39" s="6" t="s">
        <v>91</v>
      </c>
      <c r="C39" s="7">
        <v>11500</v>
      </c>
      <c r="D39" s="7"/>
      <c r="E39" s="7">
        <f t="shared" si="7"/>
        <v>11500</v>
      </c>
      <c r="F39" s="7">
        <v>12500</v>
      </c>
      <c r="G39" s="7">
        <f t="shared" si="8"/>
        <v>1000</v>
      </c>
      <c r="H39" s="48">
        <f t="shared" si="9"/>
        <v>1.0869565217391304</v>
      </c>
      <c r="I39" s="48">
        <f t="shared" si="10"/>
        <v>0</v>
      </c>
    </row>
    <row r="40" spans="1:9" ht="15" x14ac:dyDescent="0.25">
      <c r="A40" s="26" t="s">
        <v>881</v>
      </c>
      <c r="B40" s="6" t="s">
        <v>854</v>
      </c>
      <c r="C40" s="7">
        <v>0</v>
      </c>
      <c r="D40" s="7"/>
      <c r="E40" s="7">
        <f t="shared" si="7"/>
        <v>0</v>
      </c>
      <c r="F40" s="7">
        <v>0</v>
      </c>
      <c r="G40" s="7">
        <f t="shared" si="8"/>
        <v>0</v>
      </c>
      <c r="H40" s="48">
        <f t="shared" si="9"/>
        <v>0</v>
      </c>
      <c r="I40" s="48">
        <f t="shared" si="10"/>
        <v>0</v>
      </c>
    </row>
    <row r="41" spans="1:9" ht="15" x14ac:dyDescent="0.25">
      <c r="A41" s="26" t="s">
        <v>882</v>
      </c>
      <c r="B41" s="6" t="s">
        <v>856</v>
      </c>
      <c r="C41" s="7">
        <v>150</v>
      </c>
      <c r="D41" s="7"/>
      <c r="E41" s="7">
        <f t="shared" si="7"/>
        <v>150</v>
      </c>
      <c r="F41" s="7">
        <v>150</v>
      </c>
      <c r="G41" s="7">
        <f t="shared" si="8"/>
        <v>0</v>
      </c>
      <c r="H41" s="48">
        <f t="shared" si="9"/>
        <v>1</v>
      </c>
      <c r="I41" s="48">
        <f t="shared" si="10"/>
        <v>0</v>
      </c>
    </row>
    <row r="42" spans="1:9" ht="15" x14ac:dyDescent="0.25">
      <c r="A42" s="26" t="s">
        <v>883</v>
      </c>
      <c r="B42" s="6" t="s">
        <v>95</v>
      </c>
      <c r="C42" s="7">
        <v>1200</v>
      </c>
      <c r="D42" s="7"/>
      <c r="E42" s="7">
        <f t="shared" si="7"/>
        <v>1200</v>
      </c>
      <c r="F42" s="7">
        <v>1600</v>
      </c>
      <c r="G42" s="7">
        <f t="shared" si="8"/>
        <v>400</v>
      </c>
      <c r="H42" s="48">
        <f t="shared" si="9"/>
        <v>1.3333333333333333</v>
      </c>
      <c r="I42" s="48">
        <f t="shared" si="10"/>
        <v>0</v>
      </c>
    </row>
    <row r="43" spans="1:9" ht="15" x14ac:dyDescent="0.25">
      <c r="A43" s="26" t="s">
        <v>884</v>
      </c>
      <c r="B43" s="6" t="s">
        <v>698</v>
      </c>
      <c r="C43" s="7">
        <v>3000</v>
      </c>
      <c r="D43" s="7"/>
      <c r="E43" s="7">
        <f t="shared" si="7"/>
        <v>3000</v>
      </c>
      <c r="F43" s="7">
        <v>3000</v>
      </c>
      <c r="G43" s="7">
        <f t="shared" si="8"/>
        <v>0</v>
      </c>
      <c r="H43" s="48">
        <f t="shared" si="9"/>
        <v>1</v>
      </c>
      <c r="I43" s="48">
        <f t="shared" si="10"/>
        <v>0</v>
      </c>
    </row>
    <row r="44" spans="1:9" ht="15" x14ac:dyDescent="0.25">
      <c r="A44" s="26" t="s">
        <v>885</v>
      </c>
      <c r="B44" s="6" t="s">
        <v>385</v>
      </c>
      <c r="C44" s="7"/>
      <c r="D44" s="7"/>
      <c r="E44" s="7">
        <f t="shared" si="7"/>
        <v>0</v>
      </c>
      <c r="F44" s="7">
        <v>0</v>
      </c>
      <c r="G44" s="7">
        <f t="shared" si="8"/>
        <v>0</v>
      </c>
      <c r="H44" s="48">
        <f t="shared" si="9"/>
        <v>0</v>
      </c>
      <c r="I44" s="48">
        <f t="shared" si="10"/>
        <v>0</v>
      </c>
    </row>
    <row r="45" spans="1:9" ht="15" x14ac:dyDescent="0.25">
      <c r="A45" s="26" t="s">
        <v>886</v>
      </c>
      <c r="B45" s="6" t="s">
        <v>97</v>
      </c>
      <c r="C45" s="7">
        <v>2400</v>
      </c>
      <c r="D45" s="7"/>
      <c r="E45" s="7">
        <f t="shared" si="7"/>
        <v>2400</v>
      </c>
      <c r="F45" s="7">
        <v>0</v>
      </c>
      <c r="G45" s="7">
        <f t="shared" si="8"/>
        <v>-2400</v>
      </c>
      <c r="H45" s="48">
        <f t="shared" si="9"/>
        <v>0</v>
      </c>
      <c r="I45" s="48">
        <f t="shared" si="10"/>
        <v>0</v>
      </c>
    </row>
    <row r="46" spans="1:9" ht="15" x14ac:dyDescent="0.25">
      <c r="A46" s="26" t="s">
        <v>887</v>
      </c>
      <c r="B46" s="6" t="s">
        <v>888</v>
      </c>
      <c r="C46" s="7">
        <v>0</v>
      </c>
      <c r="D46" s="7"/>
      <c r="E46" s="7">
        <f t="shared" si="7"/>
        <v>0</v>
      </c>
      <c r="F46" s="7">
        <v>0</v>
      </c>
      <c r="G46" s="7">
        <f t="shared" si="8"/>
        <v>0</v>
      </c>
      <c r="H46" s="48">
        <f t="shared" si="9"/>
        <v>0</v>
      </c>
      <c r="I46" s="48">
        <f t="shared" si="10"/>
        <v>0</v>
      </c>
    </row>
    <row r="47" spans="1:9" ht="15" x14ac:dyDescent="0.25">
      <c r="A47" s="26" t="s">
        <v>889</v>
      </c>
      <c r="B47" s="6" t="s">
        <v>890</v>
      </c>
      <c r="C47" s="7">
        <v>8000</v>
      </c>
      <c r="D47" s="7"/>
      <c r="E47" s="7">
        <f t="shared" si="7"/>
        <v>8000</v>
      </c>
      <c r="F47" s="7">
        <v>8000</v>
      </c>
      <c r="G47" s="7">
        <f t="shared" si="8"/>
        <v>0</v>
      </c>
      <c r="H47" s="48">
        <f t="shared" si="9"/>
        <v>1</v>
      </c>
      <c r="I47" s="48">
        <f t="shared" si="10"/>
        <v>0</v>
      </c>
    </row>
    <row r="48" spans="1:9" ht="15" x14ac:dyDescent="0.25">
      <c r="A48" s="26" t="s">
        <v>891</v>
      </c>
      <c r="B48" s="6" t="s">
        <v>109</v>
      </c>
      <c r="C48" s="7">
        <v>2500</v>
      </c>
      <c r="D48" s="7"/>
      <c r="E48" s="7">
        <f t="shared" si="7"/>
        <v>2500</v>
      </c>
      <c r="F48" s="7">
        <v>2500</v>
      </c>
      <c r="G48" s="7">
        <f t="shared" si="8"/>
        <v>0</v>
      </c>
      <c r="H48" s="48">
        <f t="shared" si="9"/>
        <v>1</v>
      </c>
      <c r="I48" s="48">
        <f t="shared" si="10"/>
        <v>0</v>
      </c>
    </row>
    <row r="49" spans="1:10" s="4" customFormat="1" ht="15" x14ac:dyDescent="0.25">
      <c r="A49" s="26" t="s">
        <v>892</v>
      </c>
      <c r="B49" s="6" t="s">
        <v>893</v>
      </c>
      <c r="C49" s="7">
        <v>4000</v>
      </c>
      <c r="D49" s="7"/>
      <c r="E49" s="7">
        <f t="shared" si="7"/>
        <v>4000</v>
      </c>
      <c r="F49" s="7">
        <v>2500</v>
      </c>
      <c r="G49" s="7">
        <f t="shared" si="8"/>
        <v>-1500</v>
      </c>
      <c r="H49" s="48">
        <f t="shared" si="9"/>
        <v>0.625</v>
      </c>
      <c r="I49" s="48">
        <f t="shared" si="10"/>
        <v>0</v>
      </c>
    </row>
    <row r="50" spans="1:10" ht="15" x14ac:dyDescent="0.25">
      <c r="A50" s="26" t="s">
        <v>894</v>
      </c>
      <c r="B50" s="6" t="s">
        <v>895</v>
      </c>
      <c r="C50" s="7">
        <v>0</v>
      </c>
      <c r="D50" s="7"/>
      <c r="E50" s="7">
        <f t="shared" si="7"/>
        <v>0</v>
      </c>
      <c r="F50" s="7">
        <v>2850</v>
      </c>
      <c r="G50" s="7">
        <f t="shared" si="8"/>
        <v>2850</v>
      </c>
      <c r="H50" s="48">
        <f t="shared" si="9"/>
        <v>0</v>
      </c>
      <c r="I50" s="48">
        <f t="shared" si="10"/>
        <v>0</v>
      </c>
    </row>
    <row r="51" spans="1:10" ht="15" x14ac:dyDescent="0.25">
      <c r="A51" s="26" t="s">
        <v>896</v>
      </c>
      <c r="B51" s="6" t="s">
        <v>897</v>
      </c>
      <c r="C51" s="7"/>
      <c r="D51" s="7"/>
      <c r="E51" s="7"/>
      <c r="F51" s="7">
        <v>0</v>
      </c>
      <c r="G51" s="7"/>
      <c r="H51" s="48"/>
      <c r="I51" s="48">
        <f t="shared" si="10"/>
        <v>0</v>
      </c>
    </row>
    <row r="52" spans="1:10" ht="15" x14ac:dyDescent="0.25">
      <c r="A52" s="26" t="s">
        <v>898</v>
      </c>
      <c r="B52" s="6" t="s">
        <v>293</v>
      </c>
      <c r="C52" s="7">
        <v>56911</v>
      </c>
      <c r="D52" s="7"/>
      <c r="E52" s="7">
        <f t="shared" si="7"/>
        <v>56911</v>
      </c>
      <c r="F52" s="7">
        <v>31500</v>
      </c>
      <c r="G52" s="7">
        <f t="shared" si="8"/>
        <v>-25411</v>
      </c>
      <c r="H52" s="48">
        <f t="shared" si="9"/>
        <v>0.55349580924601571</v>
      </c>
      <c r="I52" s="48">
        <f t="shared" si="10"/>
        <v>0</v>
      </c>
    </row>
    <row r="53" spans="1:10" ht="15" x14ac:dyDescent="0.25">
      <c r="A53" s="26" t="s">
        <v>924</v>
      </c>
      <c r="B53" s="6" t="s">
        <v>117</v>
      </c>
      <c r="C53" s="7">
        <v>0</v>
      </c>
      <c r="D53" s="7"/>
      <c r="E53" s="7">
        <f t="shared" si="7"/>
        <v>0</v>
      </c>
      <c r="F53" s="7">
        <v>1500</v>
      </c>
      <c r="G53" s="7">
        <f t="shared" si="8"/>
        <v>1500</v>
      </c>
      <c r="H53" s="48">
        <f t="shared" si="9"/>
        <v>0</v>
      </c>
      <c r="I53" s="48">
        <f t="shared" si="10"/>
        <v>0</v>
      </c>
      <c r="J53" s="4"/>
    </row>
    <row r="54" spans="1:10" ht="15" x14ac:dyDescent="0.25">
      <c r="A54" s="26" t="s">
        <v>900</v>
      </c>
      <c r="B54" s="6" t="s">
        <v>115</v>
      </c>
      <c r="C54" s="7">
        <v>0</v>
      </c>
      <c r="D54" s="7"/>
      <c r="E54" s="7">
        <f t="shared" si="7"/>
        <v>0</v>
      </c>
      <c r="F54" s="43">
        <v>0</v>
      </c>
      <c r="G54" s="7">
        <f t="shared" si="8"/>
        <v>0</v>
      </c>
      <c r="H54" s="48">
        <f t="shared" si="9"/>
        <v>0</v>
      </c>
      <c r="I54" s="48">
        <f t="shared" si="10"/>
        <v>0</v>
      </c>
    </row>
    <row r="55" spans="1:10" ht="15" x14ac:dyDescent="0.25">
      <c r="A55" s="6"/>
      <c r="B55" s="6"/>
      <c r="C55" s="7"/>
      <c r="D55" s="7"/>
      <c r="E55" s="7"/>
      <c r="F55" s="7"/>
      <c r="G55" s="7"/>
      <c r="H55" s="48"/>
      <c r="I55" s="48"/>
    </row>
    <row r="56" spans="1:10" ht="16.8" x14ac:dyDescent="0.4">
      <c r="A56" s="24" t="s">
        <v>162</v>
      </c>
      <c r="B56" s="6"/>
      <c r="C56" s="12">
        <f>SUM(C22:C55)</f>
        <v>755936</v>
      </c>
      <c r="D56" s="12">
        <f>SUM(D22:D55)</f>
        <v>0</v>
      </c>
      <c r="E56" s="12">
        <f>SUM(E22:E55)</f>
        <v>755936</v>
      </c>
      <c r="F56" s="12">
        <f>SUM(F22:F55)</f>
        <v>796610</v>
      </c>
      <c r="G56" s="12">
        <f>SUM(G22:G55)</f>
        <v>40674</v>
      </c>
      <c r="H56" s="48">
        <f t="shared" si="9"/>
        <v>1.0538061423189264</v>
      </c>
      <c r="I56" s="48">
        <f t="shared" si="10"/>
        <v>0</v>
      </c>
    </row>
    <row r="57" spans="1:10" ht="15" x14ac:dyDescent="0.25">
      <c r="A57" s="6"/>
      <c r="B57" s="6"/>
      <c r="C57" s="7"/>
      <c r="D57" s="7"/>
      <c r="E57" s="7"/>
      <c r="F57" s="7"/>
      <c r="G57" s="7"/>
      <c r="H57" s="48"/>
      <c r="I57" s="48"/>
    </row>
    <row r="58" spans="1:10" ht="16.8" x14ac:dyDescent="0.4">
      <c r="A58" s="26" t="s">
        <v>166</v>
      </c>
      <c r="B58" s="6"/>
      <c r="C58" s="13">
        <f>SUM(C18+C56)</f>
        <v>578473</v>
      </c>
      <c r="D58" s="13">
        <f>SUM(D18+D56)</f>
        <v>0</v>
      </c>
      <c r="E58" s="13">
        <f>SUM(E18+E56)</f>
        <v>578473</v>
      </c>
      <c r="F58" s="13">
        <f>SUM(F18+F56)</f>
        <v>638084</v>
      </c>
      <c r="G58" s="13">
        <f>SUM(G18+G56)</f>
        <v>59611</v>
      </c>
      <c r="H58" s="48">
        <f t="shared" si="9"/>
        <v>1.1030488890579162</v>
      </c>
      <c r="I58" s="48">
        <f t="shared" si="10"/>
        <v>0</v>
      </c>
    </row>
  </sheetData>
  <mergeCells count="1">
    <mergeCell ref="A1:G1"/>
  </mergeCells>
  <phoneticPr fontId="1" type="noConversion"/>
  <conditionalFormatting sqref="A9:A15 A22:A54 A56 A58">
    <cfRule type="expression" dxfId="39" priority="1" stopIfTrue="1">
      <formula>AND(COUNTIF($A$1:$A$347, A9)&gt;1,NOT(ISBLANK(A9)))</formula>
    </cfRule>
  </conditionalFormatting>
  <conditionalFormatting sqref="A16">
    <cfRule type="expression" dxfId="38" priority="32" stopIfTrue="1">
      <formula>AND(COUNTIF($A$1:$A$345, A16)&gt;1,NOT(ISBLANK(A16)))</formula>
    </cfRule>
  </conditionalFormatting>
  <pageMargins left="0.74803149606299213" right="0.74803149606299213" top="0.98425196850393704" bottom="0.98425196850393704" header="0.51181102362204722" footer="0.51181102362204722"/>
  <pageSetup scale="65" orientation="portrait" horizontalDpi="4294967293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1:M27"/>
  <sheetViews>
    <sheetView zoomScale="90" zoomScaleNormal="90" workbookViewId="0">
      <pane ySplit="3" topLeftCell="A10" activePane="bottomLeft" state="frozen"/>
      <selection activeCell="I6" sqref="I6"/>
      <selection pane="bottomLeft" activeCell="D20" sqref="D20"/>
    </sheetView>
  </sheetViews>
  <sheetFormatPr defaultColWidth="9.33203125" defaultRowHeight="15" x14ac:dyDescent="0.25"/>
  <cols>
    <col min="1" max="1" width="20.6640625" style="4" customWidth="1"/>
    <col min="2" max="2" width="30.6640625" style="4" customWidth="1"/>
    <col min="3" max="3" width="16" style="56" customWidth="1"/>
    <col min="4" max="4" width="18.5546875" style="7" customWidth="1"/>
    <col min="5" max="5" width="14.44140625" style="56" customWidth="1"/>
    <col min="6" max="6" width="14.6640625" style="56" customWidth="1"/>
    <col min="7" max="7" width="16.33203125" style="56" customWidth="1"/>
    <col min="8" max="9" width="13" style="46" customWidth="1"/>
    <col min="10" max="14" width="12.5546875" style="4" customWidth="1"/>
    <col min="15" max="16384" width="9.33203125" style="4"/>
  </cols>
  <sheetData>
    <row r="1" spans="1:13" ht="15.6" x14ac:dyDescent="0.3">
      <c r="A1" s="126" t="s">
        <v>21</v>
      </c>
      <c r="B1" s="127"/>
      <c r="C1" s="127"/>
      <c r="D1" s="127"/>
      <c r="E1" s="127"/>
      <c r="F1" s="127"/>
      <c r="G1" s="127"/>
      <c r="H1" s="127"/>
      <c r="I1" s="127"/>
      <c r="J1" s="227"/>
      <c r="K1" s="227"/>
      <c r="L1" s="227"/>
      <c r="M1" s="227"/>
    </row>
    <row r="2" spans="1:13" ht="15.6" x14ac:dyDescent="0.3">
      <c r="A2" s="121" t="str">
        <f>'Bldg ByLaw Accts'!A2</f>
        <v>2026 Draft Budget</v>
      </c>
      <c r="B2" s="122"/>
      <c r="C2" s="123"/>
      <c r="D2" s="123"/>
      <c r="E2" s="123"/>
      <c r="F2" s="123"/>
      <c r="G2" s="123"/>
      <c r="H2" s="124"/>
      <c r="I2" s="124"/>
      <c r="J2" s="228"/>
      <c r="K2" s="228"/>
      <c r="L2" s="228"/>
      <c r="M2" s="228"/>
    </row>
    <row r="3" spans="1:13" ht="60" customHeight="1" x14ac:dyDescent="0.25">
      <c r="A3" s="206"/>
      <c r="B3" s="191"/>
      <c r="C3" s="140" t="str">
        <f>'Bldg ByLaw Accts'!C3</f>
        <v>2025 Budget</v>
      </c>
      <c r="D3" s="140" t="str">
        <f>Summary!C5</f>
        <v>2025 Year End Projection per Third Quarter Financials</v>
      </c>
      <c r="E3" s="140" t="str">
        <f>'Bldg ByLaw Accts'!E3</f>
        <v>Variance Budget to Actual</v>
      </c>
      <c r="F3" s="140" t="str">
        <f>'Bldg ByLaw Accts'!F3</f>
        <v>2026 Budget</v>
      </c>
      <c r="G3" s="140" t="str">
        <f>'Bldg ByLaw Accts'!G3</f>
        <v>Variance         Budget to Budget</v>
      </c>
      <c r="H3" s="218" t="str">
        <f>'Bldg ByLaw Accts'!H3</f>
        <v>% Variance Budget to Budget</v>
      </c>
      <c r="I3" s="218" t="str">
        <f>'Bldg ByLaw Accts'!I3</f>
        <v>% Variance 2025 Actual to 2026 Budget</v>
      </c>
      <c r="J3" s="291" t="s">
        <v>901</v>
      </c>
      <c r="K3" s="292"/>
      <c r="L3" s="292"/>
      <c r="M3" s="293"/>
    </row>
    <row r="4" spans="1:13" ht="15.6" x14ac:dyDescent="0.25">
      <c r="A4" s="219"/>
      <c r="B4" s="172"/>
      <c r="C4" s="220"/>
      <c r="D4" s="220"/>
      <c r="E4" s="220"/>
      <c r="F4" s="220"/>
      <c r="G4" s="220"/>
      <c r="H4" s="221"/>
      <c r="I4" s="221"/>
      <c r="J4" s="158"/>
      <c r="K4" s="172"/>
      <c r="L4" s="172"/>
      <c r="M4" s="171"/>
    </row>
    <row r="5" spans="1:13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</row>
    <row r="6" spans="1:13" x14ac:dyDescent="0.25">
      <c r="A6" s="143"/>
      <c r="B6" s="173"/>
      <c r="C6" s="97"/>
      <c r="D6" s="97"/>
      <c r="E6" s="97"/>
      <c r="F6" s="97"/>
      <c r="G6" s="97"/>
      <c r="H6" s="98"/>
      <c r="I6" s="98"/>
      <c r="J6" s="109"/>
      <c r="K6" s="91"/>
      <c r="L6" s="91"/>
      <c r="M6" s="110"/>
    </row>
    <row r="7" spans="1:13" x14ac:dyDescent="0.25">
      <c r="A7" s="143"/>
      <c r="B7" s="173" t="s">
        <v>902</v>
      </c>
      <c r="C7" s="97">
        <f>'Bldg ByLaw Accts'!C6+'Bldg ByLaw Accts'!C7+'Bldg ByLaw Accts'!C8+'Bldg ByLaw Accts'!C9+'Bldg ByLaw Accts'!C10+'Bldg ByLaw Accts'!C11+'Bldg ByLaw Accts'!C12+'Bldg ByLaw Accts'!C17</f>
        <v>-357200</v>
      </c>
      <c r="D7" s="97">
        <f>-68646-210083</f>
        <v>-278729</v>
      </c>
      <c r="E7" s="97">
        <f>C7-D7</f>
        <v>-78471</v>
      </c>
      <c r="F7" s="97">
        <f>'Bldg ByLaw Accts'!F6+'Bldg ByLaw Accts'!F7+'Bldg ByLaw Accts'!F8+'Bldg ByLaw Accts'!F9+'Bldg ByLaw Accts'!F10+'Bldg ByLaw Accts'!F11+'Bldg ByLaw Accts'!F12+'Bldg ByLaw Accts'!F17</f>
        <v>-328925</v>
      </c>
      <c r="G7" s="97">
        <f>F7-C7</f>
        <v>28275</v>
      </c>
      <c r="H7" s="98">
        <f>F7/C7</f>
        <v>0.92084266517357227</v>
      </c>
      <c r="I7" s="98">
        <f>F7/D7</f>
        <v>1.1800889035586537</v>
      </c>
      <c r="J7" s="109"/>
      <c r="K7" s="91"/>
      <c r="L7" s="91"/>
      <c r="M7" s="110"/>
    </row>
    <row r="8" spans="1:13" x14ac:dyDescent="0.25">
      <c r="A8" s="143"/>
      <c r="B8" s="173" t="s">
        <v>38</v>
      </c>
      <c r="C8" s="97">
        <f>'Bldg ByLaw Accts'!C13</f>
        <v>0</v>
      </c>
      <c r="D8" s="97"/>
      <c r="E8" s="97">
        <f>C8-D8</f>
        <v>0</v>
      </c>
      <c r="F8" s="97">
        <f>'Bldg ByLaw Accts'!F13</f>
        <v>-36800</v>
      </c>
      <c r="G8" s="97">
        <f>F8-C8</f>
        <v>-36800</v>
      </c>
      <c r="H8" s="98" t="e">
        <f>F8/C8</f>
        <v>#DIV/0!</v>
      </c>
      <c r="I8" s="98" t="e">
        <f>F8/D8</f>
        <v>#DIV/0!</v>
      </c>
      <c r="J8" s="109"/>
      <c r="K8" s="91"/>
      <c r="L8" s="91"/>
      <c r="M8" s="110"/>
    </row>
    <row r="9" spans="1:13" x14ac:dyDescent="0.25">
      <c r="A9" s="143"/>
      <c r="B9" s="173"/>
      <c r="C9" s="97"/>
      <c r="D9" s="97"/>
      <c r="E9" s="97"/>
      <c r="F9" s="97"/>
      <c r="G9" s="97"/>
      <c r="H9" s="98"/>
      <c r="I9" s="98"/>
      <c r="J9" s="109"/>
      <c r="K9" s="91"/>
      <c r="L9" s="91"/>
      <c r="M9" s="110"/>
    </row>
    <row r="10" spans="1:13" x14ac:dyDescent="0.25">
      <c r="A10" s="143" t="s">
        <v>49</v>
      </c>
      <c r="B10" s="173"/>
      <c r="C10" s="97">
        <f>SUM(C7:C9)</f>
        <v>-357200</v>
      </c>
      <c r="D10" s="97">
        <f>SUM(D7:D9)</f>
        <v>-278729</v>
      </c>
      <c r="E10" s="97">
        <f>C10-D10</f>
        <v>-78471</v>
      </c>
      <c r="F10" s="97">
        <f>SUM(F7:F8)</f>
        <v>-365725</v>
      </c>
      <c r="G10" s="97">
        <f>F10-C10</f>
        <v>-8525</v>
      </c>
      <c r="H10" s="98">
        <f>F10/C10</f>
        <v>1.0238661814109742</v>
      </c>
      <c r="I10" s="98">
        <f>F10/D10</f>
        <v>1.3121167872736601</v>
      </c>
      <c r="J10" s="109"/>
      <c r="K10" s="91"/>
      <c r="L10" s="91"/>
      <c r="M10" s="110"/>
    </row>
    <row r="11" spans="1:13" x14ac:dyDescent="0.25">
      <c r="A11" s="184"/>
      <c r="B11" s="174"/>
      <c r="C11" s="155"/>
      <c r="D11" s="155"/>
      <c r="E11" s="155"/>
      <c r="F11" s="155"/>
      <c r="G11" s="155"/>
      <c r="H11" s="217"/>
      <c r="I11" s="217"/>
      <c r="J11" s="165"/>
      <c r="K11" s="166"/>
      <c r="L11" s="166"/>
      <c r="M11" s="167"/>
    </row>
    <row r="12" spans="1:13" x14ac:dyDescent="0.25">
      <c r="A12" s="158"/>
      <c r="B12" s="172"/>
      <c r="C12" s="151"/>
      <c r="D12" s="151"/>
      <c r="E12" s="151"/>
      <c r="F12" s="151"/>
      <c r="G12" s="151"/>
      <c r="H12" s="152"/>
      <c r="I12" s="152"/>
      <c r="J12" s="161"/>
      <c r="K12" s="162"/>
      <c r="L12" s="162"/>
      <c r="M12" s="163"/>
    </row>
    <row r="13" spans="1:13" x14ac:dyDescent="0.25">
      <c r="A13" s="143" t="s">
        <v>50</v>
      </c>
      <c r="B13" s="173"/>
      <c r="C13" s="97"/>
      <c r="D13" s="97"/>
      <c r="E13" s="97"/>
      <c r="F13" s="97"/>
      <c r="G13" s="97"/>
      <c r="H13" s="98"/>
      <c r="I13" s="98"/>
      <c r="J13" s="109"/>
      <c r="K13" s="91"/>
      <c r="L13" s="91"/>
      <c r="M13" s="110"/>
    </row>
    <row r="14" spans="1:13" x14ac:dyDescent="0.25">
      <c r="A14" s="143"/>
      <c r="B14" s="173"/>
      <c r="C14" s="97"/>
      <c r="D14" s="97"/>
      <c r="E14" s="97"/>
      <c r="F14" s="97"/>
      <c r="G14" s="97"/>
      <c r="H14" s="98"/>
      <c r="I14" s="98"/>
      <c r="J14" s="109"/>
      <c r="K14" s="91"/>
      <c r="L14" s="91"/>
      <c r="M14" s="110"/>
    </row>
    <row r="15" spans="1:13" x14ac:dyDescent="0.25">
      <c r="A15" s="229"/>
      <c r="B15" s="215" t="s">
        <v>903</v>
      </c>
      <c r="C15" s="97">
        <f>'Bldg ByLaw Accts'!C31+'Bldg ByLaw Accts'!C32+'Bldg ByLaw Accts'!C33+'Bldg ByLaw Accts'!C34+'Bldg ByLaw Accts'!C35+'Bldg ByLaw Accts'!C36+'Bldg ByLaw Accts'!C37+'Bldg ByLaw Accts'!C38+'Bldg ByLaw Accts'!C39+'Bldg ByLaw Accts'!C68+'Bldg ByLaw Accts'!C69+'Bldg ByLaw Accts'!C70+'Bldg ByLaw Accts'!C71+'Bldg ByLaw Accts'!C72+'Bldg ByLaw Accts'!C73+'Bldg ByLaw Accts'!C88+'Bldg ByLaw Accts'!C89+'Bldg ByLaw Accts'!C90+'Bldg ByLaw Accts'!C91+'Bldg ByLaw Accts'!C92+'Bldg ByLaw Accts'!C93+'Bldg ByLaw Accts'!C94+'Bldg ByLaw Accts'!C95</f>
        <v>480204</v>
      </c>
      <c r="D15" s="97">
        <f>82644+233357</f>
        <v>316001</v>
      </c>
      <c r="E15" s="97">
        <f t="shared" ref="E15:E21" si="0">C15-D15</f>
        <v>164203</v>
      </c>
      <c r="F15" s="97">
        <f>'Bldg ByLaw Accts'!F31+'Bldg ByLaw Accts'!F32+'Bldg ByLaw Accts'!F33+'Bldg ByLaw Accts'!F34+'Bldg ByLaw Accts'!F35+'Bldg ByLaw Accts'!F36+'Bldg ByLaw Accts'!F37+'Bldg ByLaw Accts'!F38+'Bldg ByLaw Accts'!F39+'Bldg ByLaw Accts'!F68+'Bldg ByLaw Accts'!F69+'Bldg ByLaw Accts'!F70+'Bldg ByLaw Accts'!F71+'Bldg ByLaw Accts'!F72+'Bldg ByLaw Accts'!F73+'Bldg ByLaw Accts'!F88+'Bldg ByLaw Accts'!F89+'Bldg ByLaw Accts'!F90+'Bldg ByLaw Accts'!F91+'Bldg ByLaw Accts'!F92+'Bldg ByLaw Accts'!F93+'Bldg ByLaw Accts'!F94+'Bldg ByLaw Accts'!F95</f>
        <v>437655</v>
      </c>
      <c r="G15" s="97">
        <f>F15-C15</f>
        <v>-42549</v>
      </c>
      <c r="H15" s="98">
        <f>F15/C15</f>
        <v>0.91139390758927452</v>
      </c>
      <c r="I15" s="98">
        <f>F15/D15</f>
        <v>1.3849797943677393</v>
      </c>
      <c r="J15" s="109"/>
      <c r="K15" s="91"/>
      <c r="L15" s="91"/>
      <c r="M15" s="110"/>
    </row>
    <row r="16" spans="1:13" x14ac:dyDescent="0.25">
      <c r="A16" s="229"/>
      <c r="B16" s="215" t="s">
        <v>904</v>
      </c>
      <c r="C16" s="97">
        <f>'Bldg ByLaw Accts'!C40+'Bldg ByLaw Accts'!C41+'Bldg ByLaw Accts'!C42+'Bldg ByLaw Accts'!C43+'Bldg ByLaw Accts'!C44+'Bldg ByLaw Accts'!C45+'Bldg ByLaw Accts'!C74</f>
        <v>15912</v>
      </c>
      <c r="D16" s="97">
        <f>5438+3350</f>
        <v>8788</v>
      </c>
      <c r="E16" s="97">
        <f t="shared" si="0"/>
        <v>7124</v>
      </c>
      <c r="F16" s="97">
        <f>'Bldg ByLaw Accts'!F40+'Bldg ByLaw Accts'!F41+'Bldg ByLaw Accts'!F42+'Bldg ByLaw Accts'!F43+'Bldg ByLaw Accts'!F44+'Bldg ByLaw Accts'!F45+'Bldg ByLaw Accts'!F74</f>
        <v>16545</v>
      </c>
      <c r="G16" s="97">
        <f t="shared" ref="G16:G21" si="1">F16-C16</f>
        <v>633</v>
      </c>
      <c r="H16" s="98">
        <f t="shared" ref="H16:H23" si="2">F16/C16</f>
        <v>1.0397812971342384</v>
      </c>
      <c r="I16" s="98">
        <f t="shared" ref="I16:I23" si="3">F16/D16</f>
        <v>1.8826809285389168</v>
      </c>
      <c r="J16" s="230"/>
      <c r="K16" s="91"/>
      <c r="L16" s="91"/>
      <c r="M16" s="110"/>
    </row>
    <row r="17" spans="1:13" x14ac:dyDescent="0.25">
      <c r="A17" s="229"/>
      <c r="B17" s="216" t="s">
        <v>905</v>
      </c>
      <c r="C17" s="97">
        <f>'Bldg ByLaw Accts'!C46+'Bldg ByLaw Accts'!C47+'Bldg ByLaw Accts'!C48+'Bldg ByLaw Accts'!C49+'Bldg ByLaw Accts'!C50+'Bldg ByLaw Accts'!C51+'Bldg ByLaw Accts'!C75+'Bldg ByLaw Accts'!C76+'Bldg ByLaw Accts'!C77+'Bldg ByLaw Accts'!C96+'Bldg ByLaw Accts'!C97+'Bldg ByLaw Accts'!C98+'Bldg ByLaw Accts'!C99+'Bldg ByLaw Accts'!C100</f>
        <v>20374</v>
      </c>
      <c r="D17" s="97">
        <f>9196+20371</f>
        <v>29567</v>
      </c>
      <c r="E17" s="97">
        <f t="shared" si="0"/>
        <v>-9193</v>
      </c>
      <c r="F17" s="97">
        <f>'Bldg ByLaw Accts'!F46+'Bldg ByLaw Accts'!F47+'Bldg ByLaw Accts'!F48+'Bldg ByLaw Accts'!F49+'Bldg ByLaw Accts'!F50+'Bldg ByLaw Accts'!F51+'Bldg ByLaw Accts'!F75+'Bldg ByLaw Accts'!F76+'Bldg ByLaw Accts'!F77+'Bldg ByLaw Accts'!F96+'Bldg ByLaw Accts'!F97+'Bldg ByLaw Accts'!F98+'Bldg ByLaw Accts'!F99+'Bldg ByLaw Accts'!F100</f>
        <v>24465</v>
      </c>
      <c r="G17" s="97">
        <f t="shared" si="1"/>
        <v>4091</v>
      </c>
      <c r="H17" s="98">
        <f t="shared" si="2"/>
        <v>1.2007951310493767</v>
      </c>
      <c r="I17" s="98">
        <f t="shared" si="3"/>
        <v>0.82744275712787907</v>
      </c>
      <c r="J17" s="109"/>
      <c r="K17" s="91"/>
      <c r="L17" s="91"/>
      <c r="M17" s="110"/>
    </row>
    <row r="18" spans="1:13" x14ac:dyDescent="0.25">
      <c r="A18" s="229"/>
      <c r="B18" s="215" t="s">
        <v>821</v>
      </c>
      <c r="C18" s="97">
        <f>'Bldg ByLaw Accts'!C52+'Bldg ByLaw Accts'!C53+'Bldg ByLaw Accts'!C54+'Bldg ByLaw Accts'!C55+'Bldg ByLaw Accts'!C78+'Bldg ByLaw Accts'!C101+'Bldg ByLaw Accts'!C102+'Bldg ByLaw Accts'!C63</f>
        <v>4345</v>
      </c>
      <c r="D18" s="97">
        <f>1564+801</f>
        <v>2365</v>
      </c>
      <c r="E18" s="97">
        <f t="shared" si="0"/>
        <v>1980</v>
      </c>
      <c r="F18" s="97">
        <f>'Bldg ByLaw Accts'!F52+'Bldg ByLaw Accts'!F53+'Bldg ByLaw Accts'!F54+'Bldg ByLaw Accts'!F55+'Bldg ByLaw Accts'!F78+'Bldg ByLaw Accts'!F101+'Bldg ByLaw Accts'!F102+'Bldg ByLaw Accts'!F63</f>
        <v>3805</v>
      </c>
      <c r="G18" s="97">
        <f t="shared" si="1"/>
        <v>-540</v>
      </c>
      <c r="H18" s="98">
        <f t="shared" si="2"/>
        <v>0.87571921749136938</v>
      </c>
      <c r="I18" s="98">
        <f t="shared" si="3"/>
        <v>1.6088794926004228</v>
      </c>
      <c r="J18" s="109"/>
      <c r="K18" s="91"/>
      <c r="L18" s="91"/>
      <c r="M18" s="110"/>
    </row>
    <row r="19" spans="1:13" x14ac:dyDescent="0.25">
      <c r="A19" s="229"/>
      <c r="B19" s="175" t="s">
        <v>906</v>
      </c>
      <c r="C19" s="97">
        <f>'Bldg ByLaw Accts'!C56+'Bldg ByLaw Accts'!C57+'Bldg ByLaw Accts'!C58+'Bldg ByLaw Accts'!C59+'Bldg ByLaw Accts'!C79+'Bldg ByLaw Accts'!C80+'Bldg ByLaw Accts'!C81+'Bldg ByLaw Accts'!C82+'Bldg ByLaw Accts'!C103+'Bldg ByLaw Accts'!C104+'Bldg ByLaw Accts'!C105+'Bldg ByLaw Accts'!C106</f>
        <v>9621</v>
      </c>
      <c r="D19" s="97">
        <f>3070+6551</f>
        <v>9621</v>
      </c>
      <c r="E19" s="97">
        <f t="shared" si="0"/>
        <v>0</v>
      </c>
      <c r="F19" s="97">
        <f>'Bldg ByLaw Accts'!F56+'Bldg ByLaw Accts'!F57+'Bldg ByLaw Accts'!F58+'Bldg ByLaw Accts'!F59+'Bldg ByLaw Accts'!F79+'Bldg ByLaw Accts'!F80+'Bldg ByLaw Accts'!F81+'Bldg ByLaw Accts'!F82+'Bldg ByLaw Accts'!F103+'Bldg ByLaw Accts'!F104+'Bldg ByLaw Accts'!F105+'Bldg ByLaw Accts'!F106</f>
        <v>7800</v>
      </c>
      <c r="G19" s="97">
        <f t="shared" si="1"/>
        <v>-1821</v>
      </c>
      <c r="H19" s="98">
        <f t="shared" si="2"/>
        <v>0.81072653570314934</v>
      </c>
      <c r="I19" s="98">
        <f t="shared" si="3"/>
        <v>0.81072653570314934</v>
      </c>
      <c r="J19" s="230"/>
      <c r="K19" s="91"/>
      <c r="L19" s="91"/>
      <c r="M19" s="110"/>
    </row>
    <row r="20" spans="1:13" x14ac:dyDescent="0.25">
      <c r="A20" s="229"/>
      <c r="B20" s="216" t="s">
        <v>907</v>
      </c>
      <c r="C20" s="97">
        <f>'Bldg ByLaw Accts'!C60+'Bldg ByLaw Accts'!C61</f>
        <v>0</v>
      </c>
      <c r="D20" s="97">
        <v>0</v>
      </c>
      <c r="E20" s="97">
        <f t="shared" si="0"/>
        <v>0</v>
      </c>
      <c r="F20" s="97">
        <f>'Bldg ByLaw Accts'!F60+'Bldg ByLaw Accts'!F61</f>
        <v>0</v>
      </c>
      <c r="G20" s="97">
        <f t="shared" si="1"/>
        <v>0</v>
      </c>
      <c r="H20" s="98" t="e">
        <f t="shared" si="2"/>
        <v>#DIV/0!</v>
      </c>
      <c r="I20" s="98" t="e">
        <f t="shared" si="3"/>
        <v>#DIV/0!</v>
      </c>
      <c r="J20" s="109"/>
      <c r="K20" s="91"/>
      <c r="L20" s="91"/>
      <c r="M20" s="110"/>
    </row>
    <row r="21" spans="1:13" x14ac:dyDescent="0.25">
      <c r="A21" s="229"/>
      <c r="B21" s="216" t="s">
        <v>115</v>
      </c>
      <c r="C21" s="97">
        <f>'Bldg ByLaw Accts'!C62</f>
        <v>0</v>
      </c>
      <c r="D21" s="97">
        <v>0</v>
      </c>
      <c r="E21" s="97">
        <f t="shared" si="0"/>
        <v>0</v>
      </c>
      <c r="F21" s="97">
        <v>0</v>
      </c>
      <c r="G21" s="97">
        <f t="shared" si="1"/>
        <v>0</v>
      </c>
      <c r="H21" s="98" t="e">
        <f t="shared" si="2"/>
        <v>#DIV/0!</v>
      </c>
      <c r="I21" s="98" t="e">
        <f t="shared" si="3"/>
        <v>#DIV/0!</v>
      </c>
      <c r="J21" s="109"/>
      <c r="K21" s="91"/>
      <c r="L21" s="91"/>
      <c r="M21" s="110"/>
    </row>
    <row r="22" spans="1:13" x14ac:dyDescent="0.25">
      <c r="A22" s="229"/>
      <c r="B22" s="216"/>
      <c r="C22" s="97"/>
      <c r="D22" s="97"/>
      <c r="E22" s="97"/>
      <c r="F22" s="97"/>
      <c r="G22" s="97"/>
      <c r="H22" s="98"/>
      <c r="I22" s="98"/>
      <c r="J22" s="109"/>
      <c r="K22" s="91"/>
      <c r="L22" s="91"/>
      <c r="M22" s="110"/>
    </row>
    <row r="23" spans="1:13" x14ac:dyDescent="0.25">
      <c r="A23" s="145" t="s">
        <v>162</v>
      </c>
      <c r="B23" s="173"/>
      <c r="C23" s="97">
        <f>SUM(C15:C21)</f>
        <v>530456</v>
      </c>
      <c r="D23" s="97">
        <f>SUM(D15:D21)</f>
        <v>366342</v>
      </c>
      <c r="E23" s="97">
        <f>C23-D23</f>
        <v>164114</v>
      </c>
      <c r="F23" s="97">
        <f>SUM(F15:F21)</f>
        <v>490270</v>
      </c>
      <c r="G23" s="97">
        <f>F23-C23</f>
        <v>-40186</v>
      </c>
      <c r="H23" s="98">
        <f t="shared" si="2"/>
        <v>0.92424253849518145</v>
      </c>
      <c r="I23" s="98">
        <f t="shared" si="3"/>
        <v>1.3382849905279766</v>
      </c>
      <c r="J23" s="109"/>
      <c r="K23" s="91"/>
      <c r="L23" s="91"/>
      <c r="M23" s="110"/>
    </row>
    <row r="24" spans="1:13" x14ac:dyDescent="0.25">
      <c r="A24" s="226"/>
      <c r="B24" s="174"/>
      <c r="C24" s="155"/>
      <c r="D24" s="155"/>
      <c r="E24" s="155"/>
      <c r="F24" s="155"/>
      <c r="G24" s="155"/>
      <c r="H24" s="217"/>
      <c r="I24" s="217"/>
      <c r="J24" s="165"/>
      <c r="K24" s="166"/>
      <c r="L24" s="166"/>
      <c r="M24" s="167"/>
    </row>
    <row r="25" spans="1:13" x14ac:dyDescent="0.25">
      <c r="A25" s="143"/>
      <c r="B25" s="173"/>
      <c r="C25" s="97"/>
      <c r="D25" s="97"/>
      <c r="E25" s="97"/>
      <c r="F25" s="97"/>
      <c r="G25" s="97"/>
      <c r="H25" s="98"/>
      <c r="I25" s="98"/>
      <c r="J25" s="109"/>
      <c r="K25" s="91"/>
      <c r="L25" s="91"/>
      <c r="M25" s="110"/>
    </row>
    <row r="26" spans="1:13" x14ac:dyDescent="0.25">
      <c r="A26" s="143" t="s">
        <v>166</v>
      </c>
      <c r="B26" s="173"/>
      <c r="C26" s="97">
        <f>C10+C23</f>
        <v>173256</v>
      </c>
      <c r="D26" s="97">
        <f>D10+D23</f>
        <v>87613</v>
      </c>
      <c r="E26" s="97">
        <f>C26-D26</f>
        <v>85643</v>
      </c>
      <c r="F26" s="97">
        <f>F10+F23</f>
        <v>124545</v>
      </c>
      <c r="G26" s="97">
        <f>F26-C26</f>
        <v>-48711</v>
      </c>
      <c r="H26" s="98">
        <f>F26/C26</f>
        <v>0.71884956365147523</v>
      </c>
      <c r="I26" s="98">
        <f>F26/D26</f>
        <v>1.4215356168605116</v>
      </c>
      <c r="J26" s="109"/>
      <c r="K26" s="91"/>
      <c r="L26" s="91"/>
      <c r="M26" s="110"/>
    </row>
    <row r="27" spans="1:13" x14ac:dyDescent="0.25">
      <c r="A27" s="231"/>
      <c r="B27" s="232"/>
      <c r="C27" s="233"/>
      <c r="D27" s="155"/>
      <c r="E27" s="233"/>
      <c r="F27" s="233"/>
      <c r="G27" s="233"/>
      <c r="H27" s="217"/>
      <c r="I27" s="217"/>
      <c r="J27" s="231"/>
      <c r="K27" s="232"/>
      <c r="L27" s="232"/>
      <c r="M27" s="234"/>
    </row>
  </sheetData>
  <mergeCells count="1">
    <mergeCell ref="J3:M3"/>
  </mergeCells>
  <conditionalFormatting sqref="B15">
    <cfRule type="expression" dxfId="37" priority="471" stopIfTrue="1">
      <formula>AND(COUNTIF($A$1:$A$190, B15)&gt;1,NOT(ISBLANK(B15)))</formula>
    </cfRule>
  </conditionalFormatting>
  <conditionalFormatting sqref="B15:B22 A23:A24">
    <cfRule type="expression" dxfId="36" priority="472" stopIfTrue="1">
      <formula>AND(COUNTIF($A$1:$A$256, A15)&gt;1,NOT(ISBLANK(A15)))</formula>
    </cfRule>
  </conditionalFormatting>
  <conditionalFormatting sqref="B16">
    <cfRule type="expression" dxfId="35" priority="468" stopIfTrue="1">
      <formula>AND(COUNTIF($A$1:$A$205, B16)&gt;1,NOT(ISBLANK(B16)))</formula>
    </cfRule>
  </conditionalFormatting>
  <conditionalFormatting sqref="B17">
    <cfRule type="expression" dxfId="34" priority="469" stopIfTrue="1">
      <formula>AND(COUNTIF($A$1:$A$208, B17)&gt;1,NOT(ISBLANK(B17)))</formula>
    </cfRule>
  </conditionalFormatting>
  <conditionalFormatting sqref="B18">
    <cfRule type="expression" dxfId="33" priority="462" stopIfTrue="1">
      <formula>AND(COUNTIF($A$1:$A$211, B18)&gt;1,NOT(ISBLANK(B18)))</formula>
    </cfRule>
  </conditionalFormatting>
  <conditionalFormatting sqref="B19">
    <cfRule type="expression" dxfId="32" priority="470" stopIfTrue="1">
      <formula>AND(COUNTIF($A$1:$A$216, B19)&gt;1,NOT(ISBLANK(B19)))</formula>
    </cfRule>
  </conditionalFormatting>
  <pageMargins left="0.7" right="0.7" top="0.75" bottom="0.75" header="0.3" footer="0.3"/>
  <pageSetup paperSize="5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M19"/>
  <sheetViews>
    <sheetView zoomScale="90" zoomScaleNormal="90" workbookViewId="0">
      <selection activeCell="D14" sqref="D14"/>
    </sheetView>
  </sheetViews>
  <sheetFormatPr defaultColWidth="9.33203125" defaultRowHeight="13.2" x14ac:dyDescent="0.25"/>
  <cols>
    <col min="1" max="1" width="23.6640625" style="4" customWidth="1"/>
    <col min="2" max="2" width="31.6640625" style="4" customWidth="1"/>
    <col min="3" max="3" width="13.33203125" style="56" customWidth="1"/>
    <col min="4" max="4" width="16.44140625" style="56" customWidth="1"/>
    <col min="5" max="5" width="12" style="56" customWidth="1"/>
    <col min="6" max="6" width="14.5546875" style="56" customWidth="1"/>
    <col min="7" max="7" width="15.6640625" style="56" customWidth="1"/>
    <col min="8" max="8" width="11.6640625" style="238" customWidth="1"/>
    <col min="9" max="9" width="11.33203125" style="238" customWidth="1"/>
    <col min="10" max="13" width="10.44140625" style="4" customWidth="1"/>
    <col min="14" max="16384" width="9.33203125" style="4"/>
  </cols>
  <sheetData>
    <row r="1" spans="1:13" ht="15.6" x14ac:dyDescent="0.3">
      <c r="A1" s="126" t="s">
        <v>9</v>
      </c>
      <c r="B1" s="127"/>
      <c r="C1" s="127"/>
      <c r="D1" s="127"/>
      <c r="E1" s="127"/>
      <c r="F1" s="127"/>
      <c r="G1" s="127"/>
      <c r="H1" s="118"/>
      <c r="I1" s="119"/>
      <c r="J1" s="227"/>
      <c r="K1" s="227"/>
      <c r="L1" s="227"/>
      <c r="M1" s="227"/>
    </row>
    <row r="2" spans="1:13" ht="15.6" x14ac:dyDescent="0.3">
      <c r="A2" s="121" t="str">
        <f>'Cons Auth Accts'!A2</f>
        <v>2026 Draft Budget</v>
      </c>
      <c r="B2" s="122"/>
      <c r="C2" s="123"/>
      <c r="D2" s="123"/>
      <c r="E2" s="123"/>
      <c r="F2" s="123"/>
      <c r="G2" s="123"/>
      <c r="H2" s="124"/>
      <c r="I2" s="124"/>
      <c r="J2" s="228"/>
      <c r="K2" s="228"/>
      <c r="L2" s="228"/>
      <c r="M2" s="228"/>
    </row>
    <row r="3" spans="1:13" ht="90" customHeight="1" x14ac:dyDescent="0.25">
      <c r="A3" s="206"/>
      <c r="B3" s="191"/>
      <c r="C3" s="140" t="str">
        <f>'Cons Auth Accts'!C3</f>
        <v>2025 Budget</v>
      </c>
      <c r="D3" s="140" t="str">
        <f>Summary!C5</f>
        <v>2025 Year End Projection per Third Quarter Financials</v>
      </c>
      <c r="E3" s="140" t="str">
        <f>'Cons Auth Accts'!E3</f>
        <v>Variance Budget to Actual</v>
      </c>
      <c r="F3" s="140" t="str">
        <f>'Cons Auth Accts'!F3</f>
        <v>2026 Budget</v>
      </c>
      <c r="G3" s="140" t="str">
        <f>'Cons Auth Accts'!G3</f>
        <v>Variance         Budget to Budget</v>
      </c>
      <c r="H3" s="140" t="str">
        <f>'Cons Auth Accts'!H3</f>
        <v>% Variance Budget to Budget</v>
      </c>
      <c r="I3" s="140" t="str">
        <f>'Cons Auth Accts'!I3</f>
        <v>% Variance 2025 Actual to 2026 Budget</v>
      </c>
      <c r="J3" s="291" t="s">
        <v>901</v>
      </c>
      <c r="K3" s="292"/>
      <c r="L3" s="292"/>
      <c r="M3" s="293"/>
    </row>
    <row r="4" spans="1:13" ht="15.6" x14ac:dyDescent="0.25">
      <c r="A4" s="219"/>
      <c r="B4" s="172"/>
      <c r="C4" s="220"/>
      <c r="D4" s="220"/>
      <c r="E4" s="220"/>
      <c r="F4" s="220"/>
      <c r="G4" s="220"/>
      <c r="H4" s="220"/>
      <c r="I4" s="220"/>
      <c r="J4" s="161"/>
      <c r="K4" s="162"/>
      <c r="L4" s="162"/>
      <c r="M4" s="163"/>
    </row>
    <row r="5" spans="1:13" ht="15" x14ac:dyDescent="0.25">
      <c r="A5" s="143" t="s">
        <v>22</v>
      </c>
      <c r="B5" s="173"/>
      <c r="C5" s="193"/>
      <c r="D5" s="193"/>
      <c r="E5" s="193"/>
      <c r="F5" s="193"/>
      <c r="G5" s="193"/>
      <c r="H5" s="193"/>
      <c r="I5" s="193"/>
      <c r="J5" s="109"/>
      <c r="K5" s="91"/>
      <c r="L5" s="91"/>
      <c r="M5" s="110"/>
    </row>
    <row r="6" spans="1:13" ht="15.6" x14ac:dyDescent="0.25">
      <c r="A6" s="212"/>
      <c r="B6" s="173"/>
      <c r="C6" s="193"/>
      <c r="D6" s="193"/>
      <c r="E6" s="193"/>
      <c r="F6" s="193"/>
      <c r="G6" s="193"/>
      <c r="H6" s="193"/>
      <c r="I6" s="193"/>
      <c r="J6" s="109"/>
      <c r="K6" s="91"/>
      <c r="L6" s="91"/>
      <c r="M6" s="110"/>
    </row>
    <row r="7" spans="1:13" ht="15" x14ac:dyDescent="0.25">
      <c r="A7" s="143"/>
      <c r="B7" s="173" t="s">
        <v>38</v>
      </c>
      <c r="C7" s="193">
        <f>'Cons Auth Accts'!C6</f>
        <v>0</v>
      </c>
      <c r="D7" s="193"/>
      <c r="E7" s="97">
        <f>C7-D7</f>
        <v>0</v>
      </c>
      <c r="F7" s="193">
        <f>'Cons Auth Accts'!F6</f>
        <v>0</v>
      </c>
      <c r="G7" s="97">
        <f>F7-C7</f>
        <v>0</v>
      </c>
      <c r="H7" s="100" t="e">
        <f>F7/C7</f>
        <v>#DIV/0!</v>
      </c>
      <c r="I7" s="100" t="e">
        <f>F7/D7</f>
        <v>#DIV/0!</v>
      </c>
      <c r="J7" s="109"/>
      <c r="K7" s="91"/>
      <c r="L7" s="91"/>
      <c r="M7" s="110"/>
    </row>
    <row r="8" spans="1:13" ht="15" x14ac:dyDescent="0.25">
      <c r="A8" s="143"/>
      <c r="B8" s="173"/>
      <c r="C8" s="193"/>
      <c r="D8" s="193"/>
      <c r="E8" s="97"/>
      <c r="F8" s="193"/>
      <c r="G8" s="97"/>
      <c r="H8" s="100"/>
      <c r="I8" s="100"/>
      <c r="J8" s="109"/>
      <c r="K8" s="91"/>
      <c r="L8" s="91"/>
      <c r="M8" s="110"/>
    </row>
    <row r="9" spans="1:13" ht="15" x14ac:dyDescent="0.25">
      <c r="A9" s="143" t="s">
        <v>49</v>
      </c>
      <c r="B9" s="173"/>
      <c r="C9" s="193">
        <f>SUM(C7:C8)</f>
        <v>0</v>
      </c>
      <c r="D9" s="193">
        <f>SUM(D7:D8)</f>
        <v>0</v>
      </c>
      <c r="E9" s="97">
        <f>C9-D9</f>
        <v>0</v>
      </c>
      <c r="F9" s="193">
        <f>SUM(F7:F8)</f>
        <v>0</v>
      </c>
      <c r="G9" s="97">
        <f>F9-C9</f>
        <v>0</v>
      </c>
      <c r="H9" s="100" t="e">
        <f>F9/C9</f>
        <v>#DIV/0!</v>
      </c>
      <c r="I9" s="100" t="e">
        <f>F9/D9</f>
        <v>#DIV/0!</v>
      </c>
      <c r="J9" s="109"/>
      <c r="K9" s="91"/>
      <c r="L9" s="91"/>
      <c r="M9" s="110"/>
    </row>
    <row r="10" spans="1:13" ht="15.6" x14ac:dyDescent="0.25">
      <c r="A10" s="189"/>
      <c r="B10" s="174"/>
      <c r="C10" s="190"/>
      <c r="D10" s="190"/>
      <c r="E10" s="190"/>
      <c r="F10" s="190"/>
      <c r="G10" s="190"/>
      <c r="H10" s="190"/>
      <c r="I10" s="190"/>
      <c r="J10" s="165"/>
      <c r="K10" s="166"/>
      <c r="L10" s="166"/>
      <c r="M10" s="167"/>
    </row>
    <row r="11" spans="1:13" ht="15.6" x14ac:dyDescent="0.25">
      <c r="A11" s="212"/>
      <c r="B11" s="173"/>
      <c r="C11" s="193"/>
      <c r="D11" s="193"/>
      <c r="E11" s="193"/>
      <c r="F11" s="193"/>
      <c r="G11" s="193"/>
      <c r="H11" s="193"/>
      <c r="I11" s="193"/>
      <c r="J11" s="109"/>
      <c r="K11" s="91"/>
      <c r="L11" s="91"/>
      <c r="M11" s="110"/>
    </row>
    <row r="12" spans="1:13" ht="15" x14ac:dyDescent="0.25">
      <c r="A12" s="143" t="s">
        <v>50</v>
      </c>
      <c r="B12" s="173"/>
      <c r="C12" s="97"/>
      <c r="D12" s="97"/>
      <c r="E12" s="97"/>
      <c r="F12" s="97"/>
      <c r="G12" s="97"/>
      <c r="H12" s="98"/>
      <c r="I12" s="98"/>
      <c r="J12" s="109"/>
      <c r="K12" s="91"/>
      <c r="L12" s="91"/>
      <c r="M12" s="110"/>
    </row>
    <row r="13" spans="1:13" ht="15" x14ac:dyDescent="0.25">
      <c r="A13" s="146"/>
      <c r="B13" s="173" t="s">
        <v>169</v>
      </c>
      <c r="C13" s="97">
        <f>'Cons Auth Accts'!C10</f>
        <v>98176</v>
      </c>
      <c r="D13" s="97">
        <v>98176</v>
      </c>
      <c r="E13" s="97">
        <f>C13-D13</f>
        <v>0</v>
      </c>
      <c r="F13" s="97">
        <f>'Cons Auth Accts'!F10</f>
        <v>100653</v>
      </c>
      <c r="G13" s="97">
        <f>F13-C13</f>
        <v>2477</v>
      </c>
      <c r="H13" s="100">
        <f>F13/C13</f>
        <v>1.0252301988265971</v>
      </c>
      <c r="I13" s="100">
        <f>F13/D13</f>
        <v>1.0252301988265971</v>
      </c>
      <c r="J13" s="109"/>
      <c r="K13" s="91"/>
      <c r="L13" s="91"/>
      <c r="M13" s="110"/>
    </row>
    <row r="14" spans="1:13" ht="15" x14ac:dyDescent="0.25">
      <c r="A14" s="143"/>
      <c r="B14" s="173"/>
      <c r="C14" s="97"/>
      <c r="D14" s="97"/>
      <c r="E14" s="97"/>
      <c r="F14" s="97"/>
      <c r="G14" s="97"/>
      <c r="H14" s="100"/>
      <c r="I14" s="100"/>
      <c r="J14" s="109"/>
      <c r="K14" s="91"/>
      <c r="L14" s="91"/>
      <c r="M14" s="110"/>
    </row>
    <row r="15" spans="1:13" ht="15" x14ac:dyDescent="0.25">
      <c r="A15" s="143" t="s">
        <v>162</v>
      </c>
      <c r="B15" s="173"/>
      <c r="C15" s="97">
        <f>SUM(C13:C14)</f>
        <v>98176</v>
      </c>
      <c r="D15" s="97">
        <f>SUM(D13:D14)</f>
        <v>98176</v>
      </c>
      <c r="E15" s="97">
        <f>C15-D15</f>
        <v>0</v>
      </c>
      <c r="F15" s="97">
        <f>SUM(F13)</f>
        <v>100653</v>
      </c>
      <c r="G15" s="97">
        <f>F15-C15</f>
        <v>2477</v>
      </c>
      <c r="H15" s="100">
        <f>F15/C15</f>
        <v>1.0252301988265971</v>
      </c>
      <c r="I15" s="100">
        <f>F15/D15</f>
        <v>1.0252301988265971</v>
      </c>
      <c r="J15" s="109"/>
      <c r="K15" s="91"/>
      <c r="L15" s="91"/>
      <c r="M15" s="110"/>
    </row>
    <row r="16" spans="1:13" ht="15" x14ac:dyDescent="0.25">
      <c r="A16" s="143"/>
      <c r="B16" s="173"/>
      <c r="C16" s="97"/>
      <c r="D16" s="97"/>
      <c r="E16" s="97"/>
      <c r="F16" s="97"/>
      <c r="G16" s="97"/>
      <c r="H16" s="100"/>
      <c r="I16" s="100"/>
      <c r="J16" s="109"/>
      <c r="K16" s="91"/>
      <c r="L16" s="91"/>
      <c r="M16" s="110"/>
    </row>
    <row r="17" spans="1:13" ht="15" x14ac:dyDescent="0.25">
      <c r="A17" s="158"/>
      <c r="B17" s="172"/>
      <c r="C17" s="151"/>
      <c r="D17" s="151"/>
      <c r="E17" s="151"/>
      <c r="F17" s="151"/>
      <c r="G17" s="151"/>
      <c r="H17" s="159"/>
      <c r="I17" s="159"/>
      <c r="J17" s="161"/>
      <c r="K17" s="162"/>
      <c r="L17" s="162"/>
      <c r="M17" s="163"/>
    </row>
    <row r="18" spans="1:13" ht="15" x14ac:dyDescent="0.25">
      <c r="A18" s="143" t="s">
        <v>166</v>
      </c>
      <c r="B18" s="173"/>
      <c r="C18" s="97">
        <f>C9+C15</f>
        <v>98176</v>
      </c>
      <c r="D18" s="97">
        <f>D9+D15</f>
        <v>98176</v>
      </c>
      <c r="E18" s="97">
        <f>E9+E15</f>
        <v>0</v>
      </c>
      <c r="F18" s="97">
        <f>F9+F15</f>
        <v>100653</v>
      </c>
      <c r="G18" s="97">
        <f>F18-C18</f>
        <v>2477</v>
      </c>
      <c r="H18" s="100">
        <f>F18/C18</f>
        <v>1.0252301988265971</v>
      </c>
      <c r="I18" s="100">
        <f>F18/D18</f>
        <v>1.0252301988265971</v>
      </c>
      <c r="J18" s="109"/>
      <c r="K18" s="91"/>
      <c r="L18" s="91"/>
      <c r="M18" s="110"/>
    </row>
    <row r="19" spans="1:13" x14ac:dyDescent="0.25">
      <c r="A19" s="235"/>
      <c r="B19" s="228"/>
      <c r="C19" s="236"/>
      <c r="D19" s="236"/>
      <c r="E19" s="236"/>
      <c r="F19" s="236"/>
      <c r="G19" s="236"/>
      <c r="H19" s="237"/>
      <c r="I19" s="237"/>
      <c r="J19" s="210"/>
      <c r="K19" s="211"/>
      <c r="L19" s="211"/>
      <c r="M19" s="209"/>
    </row>
  </sheetData>
  <mergeCells count="1">
    <mergeCell ref="J3:M3"/>
  </mergeCells>
  <conditionalFormatting sqref="A13">
    <cfRule type="expression" dxfId="31" priority="1" stopIfTrue="1">
      <formula>AND(COUNTIF($A$1:$A$347, A13)&gt;1,NOT(ISBLANK(A13)))</formula>
    </cfRule>
  </conditionalFormatting>
  <pageMargins left="0.7" right="0.7" top="0.75" bottom="0.75" header="0.3" footer="0.3"/>
  <pageSetup paperSize="5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A1:M23"/>
  <sheetViews>
    <sheetView zoomScale="90" zoomScaleNormal="90" workbookViewId="0">
      <pane ySplit="3" topLeftCell="A4" activePane="bottomLeft" state="frozen"/>
      <selection activeCell="I6" sqref="I6"/>
      <selection pane="bottomLeft" activeCell="E22" sqref="E22"/>
    </sheetView>
  </sheetViews>
  <sheetFormatPr defaultColWidth="9.33203125" defaultRowHeight="13.2" x14ac:dyDescent="0.25"/>
  <cols>
    <col min="1" max="1" width="21.5546875" style="4" customWidth="1"/>
    <col min="2" max="2" width="26.5546875" style="4" customWidth="1"/>
    <col min="3" max="3" width="13.33203125" style="240" customWidth="1"/>
    <col min="4" max="4" width="15.33203125" style="240" customWidth="1"/>
    <col min="5" max="5" width="12.6640625" style="240" customWidth="1"/>
    <col min="6" max="6" width="14.5546875" style="240" customWidth="1"/>
    <col min="7" max="7" width="16" style="240" customWidth="1"/>
    <col min="8" max="8" width="11.5546875" style="238" customWidth="1"/>
    <col min="9" max="9" width="12.33203125" style="238" customWidth="1"/>
    <col min="10" max="13" width="9.6640625" style="4" customWidth="1"/>
    <col min="14" max="16384" width="9.33203125" style="4"/>
  </cols>
  <sheetData>
    <row r="1" spans="1:13" ht="15.6" x14ac:dyDescent="0.3">
      <c r="A1" s="126" t="s">
        <v>10</v>
      </c>
      <c r="B1" s="127"/>
      <c r="C1" s="127"/>
      <c r="D1" s="127"/>
      <c r="E1" s="127"/>
      <c r="F1" s="127"/>
      <c r="G1" s="127"/>
      <c r="H1" s="118"/>
      <c r="I1" s="119"/>
      <c r="J1" s="227"/>
      <c r="K1" s="227"/>
      <c r="L1" s="227"/>
      <c r="M1" s="227"/>
    </row>
    <row r="2" spans="1:13" ht="15.6" x14ac:dyDescent="0.3">
      <c r="A2" s="121" t="str">
        <f>'Emerg Planning Accts'!A2</f>
        <v>2026 Draft Budget</v>
      </c>
      <c r="B2" s="122"/>
      <c r="C2" s="247"/>
      <c r="D2" s="247"/>
      <c r="E2" s="247"/>
      <c r="F2" s="247"/>
      <c r="G2" s="247"/>
      <c r="H2" s="124"/>
      <c r="I2" s="124"/>
      <c r="J2" s="228"/>
      <c r="K2" s="228"/>
      <c r="L2" s="228"/>
      <c r="M2" s="228"/>
    </row>
    <row r="3" spans="1:13" ht="75" customHeight="1" x14ac:dyDescent="0.25">
      <c r="A3" s="206"/>
      <c r="B3" s="191"/>
      <c r="C3" s="140" t="str">
        <f>'Emerg Planning Accts'!C3</f>
        <v>2025 Budget</v>
      </c>
      <c r="D3" s="140" t="str">
        <f>Summary!C5</f>
        <v>2025 Year End Projection per Third Quarter Financials</v>
      </c>
      <c r="E3" s="140" t="str">
        <f>'Emerg Planning Accts'!E3</f>
        <v>Variance Budget to Actual</v>
      </c>
      <c r="F3" s="140" t="str">
        <f>'Emerg Planning Accts'!F3</f>
        <v>2026 Budget</v>
      </c>
      <c r="G3" s="140" t="str">
        <f>'Emerg Planning Accts'!G3</f>
        <v>Variance         Budget to Budget</v>
      </c>
      <c r="H3" s="140" t="str">
        <f>'Emerg Planning Accts'!H3</f>
        <v>% Variance Budget to Budget</v>
      </c>
      <c r="I3" s="141" t="str">
        <f>'Emerg Planning Accts'!I3</f>
        <v>% Variance 2025 Actual to 2026 Budget</v>
      </c>
      <c r="J3" s="291" t="s">
        <v>901</v>
      </c>
      <c r="K3" s="292"/>
      <c r="L3" s="292"/>
      <c r="M3" s="293"/>
    </row>
    <row r="4" spans="1:13" ht="15" x14ac:dyDescent="0.25">
      <c r="A4" s="158"/>
      <c r="B4" s="172"/>
      <c r="C4" s="250"/>
      <c r="D4" s="250"/>
      <c r="E4" s="250"/>
      <c r="F4" s="250"/>
      <c r="G4" s="250"/>
      <c r="H4" s="152"/>
      <c r="I4" s="153"/>
      <c r="J4" s="161"/>
      <c r="K4" s="162"/>
      <c r="L4" s="162"/>
      <c r="M4" s="163"/>
    </row>
    <row r="5" spans="1:13" ht="15" x14ac:dyDescent="0.25">
      <c r="A5" s="143" t="s">
        <v>22</v>
      </c>
      <c r="B5" s="173"/>
      <c r="C5" s="241"/>
      <c r="D5" s="241"/>
      <c r="E5" s="241"/>
      <c r="F5" s="241"/>
      <c r="G5" s="241"/>
      <c r="H5" s="100"/>
      <c r="I5" s="101"/>
      <c r="J5" s="109"/>
      <c r="K5" s="91"/>
      <c r="L5" s="91"/>
      <c r="M5" s="110"/>
    </row>
    <row r="6" spans="1:13" ht="15" x14ac:dyDescent="0.25">
      <c r="A6" s="143"/>
      <c r="B6" s="173" t="s">
        <v>171</v>
      </c>
      <c r="C6" s="241">
        <f>'Emerg Planning Accts'!C7</f>
        <v>0</v>
      </c>
      <c r="D6" s="241"/>
      <c r="E6" s="241">
        <f>C6-D6</f>
        <v>0</v>
      </c>
      <c r="F6" s="241">
        <f>'Emerg Planning Accts'!F7</f>
        <v>0</v>
      </c>
      <c r="G6" s="242">
        <f>F6-C6</f>
        <v>0</v>
      </c>
      <c r="H6" s="243" t="e">
        <f>F6/C6</f>
        <v>#DIV/0!</v>
      </c>
      <c r="I6" s="248" t="e">
        <f>F6/D6</f>
        <v>#DIV/0!</v>
      </c>
      <c r="J6" s="109"/>
      <c r="K6" s="91"/>
      <c r="L6" s="91"/>
      <c r="M6" s="110"/>
    </row>
    <row r="7" spans="1:13" ht="15" x14ac:dyDescent="0.25">
      <c r="A7" s="143"/>
      <c r="B7" s="173" t="s">
        <v>38</v>
      </c>
      <c r="C7" s="242">
        <f>'Emerg Planning Accts'!C8</f>
        <v>0</v>
      </c>
      <c r="D7" s="242"/>
      <c r="E7" s="242">
        <f>C7-D7</f>
        <v>0</v>
      </c>
      <c r="F7" s="242">
        <f>'Emerg Planning Accts'!F8</f>
        <v>0</v>
      </c>
      <c r="G7" s="242">
        <f>F7-C7</f>
        <v>0</v>
      </c>
      <c r="H7" s="243" t="e">
        <f>F7/C7</f>
        <v>#DIV/0!</v>
      </c>
      <c r="I7" s="248" t="e">
        <f>F7/D7</f>
        <v>#DIV/0!</v>
      </c>
      <c r="J7" s="109"/>
      <c r="K7" s="91"/>
      <c r="L7" s="91"/>
      <c r="M7" s="110"/>
    </row>
    <row r="8" spans="1:13" ht="15" x14ac:dyDescent="0.25">
      <c r="A8" s="143"/>
      <c r="B8" s="173"/>
      <c r="C8" s="242"/>
      <c r="D8" s="241"/>
      <c r="E8" s="241"/>
      <c r="F8" s="241"/>
      <c r="G8" s="241"/>
      <c r="H8" s="243"/>
      <c r="I8" s="248"/>
      <c r="J8" s="109"/>
      <c r="K8" s="91"/>
      <c r="L8" s="91"/>
      <c r="M8" s="110"/>
    </row>
    <row r="9" spans="1:13" ht="15" x14ac:dyDescent="0.25">
      <c r="A9" s="143" t="s">
        <v>49</v>
      </c>
      <c r="B9" s="173"/>
      <c r="C9" s="242">
        <f>'Emerg Planning Accts'!C10</f>
        <v>0</v>
      </c>
      <c r="D9" s="242">
        <f>'Emerg Planning Accts'!D10</f>
        <v>0</v>
      </c>
      <c r="E9" s="242">
        <f>C9-D9</f>
        <v>0</v>
      </c>
      <c r="F9" s="242">
        <f>'Emerg Planning Accts'!F10</f>
        <v>0</v>
      </c>
      <c r="G9" s="242">
        <f>F9-C9</f>
        <v>0</v>
      </c>
      <c r="H9" s="243" t="e">
        <f>F9/C9</f>
        <v>#DIV/0!</v>
      </c>
      <c r="I9" s="248" t="e">
        <f>F9/D9</f>
        <v>#DIV/0!</v>
      </c>
      <c r="J9" s="109"/>
      <c r="K9" s="91"/>
      <c r="L9" s="91"/>
      <c r="M9" s="110"/>
    </row>
    <row r="10" spans="1:13" ht="15" x14ac:dyDescent="0.25">
      <c r="A10" s="184"/>
      <c r="B10" s="174"/>
      <c r="C10" s="251"/>
      <c r="D10" s="251"/>
      <c r="E10" s="251"/>
      <c r="F10" s="251"/>
      <c r="G10" s="251"/>
      <c r="H10" s="252"/>
      <c r="I10" s="253"/>
      <c r="J10" s="165"/>
      <c r="K10" s="166"/>
      <c r="L10" s="166"/>
      <c r="M10" s="167"/>
    </row>
    <row r="11" spans="1:13" ht="15" x14ac:dyDescent="0.25">
      <c r="A11" s="158"/>
      <c r="B11" s="172"/>
      <c r="C11" s="250"/>
      <c r="D11" s="250"/>
      <c r="E11" s="250"/>
      <c r="F11" s="250"/>
      <c r="G11" s="250"/>
      <c r="H11" s="254"/>
      <c r="I11" s="255"/>
      <c r="J11" s="161"/>
      <c r="K11" s="162"/>
      <c r="L11" s="162"/>
      <c r="M11" s="163"/>
    </row>
    <row r="12" spans="1:13" ht="15" x14ac:dyDescent="0.25">
      <c r="A12" s="143" t="s">
        <v>50</v>
      </c>
      <c r="B12" s="173"/>
      <c r="C12" s="241"/>
      <c r="D12" s="241"/>
      <c r="E12" s="241"/>
      <c r="F12" s="241"/>
      <c r="G12" s="241"/>
      <c r="H12" s="243"/>
      <c r="I12" s="248"/>
      <c r="J12" s="109"/>
      <c r="K12" s="91"/>
      <c r="L12" s="91"/>
      <c r="M12" s="110"/>
    </row>
    <row r="13" spans="1:13" ht="15" x14ac:dyDescent="0.25">
      <c r="A13" s="143"/>
      <c r="B13" s="173"/>
      <c r="C13" s="241"/>
      <c r="D13" s="241"/>
      <c r="E13" s="241"/>
      <c r="F13" s="241"/>
      <c r="G13" s="241"/>
      <c r="H13" s="243"/>
      <c r="I13" s="248"/>
      <c r="J13" s="109"/>
      <c r="K13" s="91"/>
      <c r="L13" s="91"/>
      <c r="M13" s="110"/>
    </row>
    <row r="14" spans="1:13" ht="15" x14ac:dyDescent="0.25">
      <c r="A14" s="145"/>
      <c r="B14" s="173" t="s">
        <v>904</v>
      </c>
      <c r="C14" s="241">
        <f>'Emerg Planning Accts'!C14+'Emerg Planning Accts'!C15+'Emerg Planning Accts'!C16+'Emerg Planning Accts'!C17+'Emerg Planning Accts'!C18+'Emerg Planning Accts'!C19</f>
        <v>700</v>
      </c>
      <c r="D14" s="241">
        <f>100+600</f>
        <v>700</v>
      </c>
      <c r="E14" s="241">
        <f>C14-D14</f>
        <v>0</v>
      </c>
      <c r="F14" s="241">
        <f>'Emerg Planning Accts'!F14+'Emerg Planning Accts'!F15+'Emerg Planning Accts'!F16+'Emerg Planning Accts'!F17+'Emerg Planning Accts'!F18+'Emerg Planning Accts'!F19</f>
        <v>700</v>
      </c>
      <c r="G14" s="241">
        <f>F14-C14</f>
        <v>0</v>
      </c>
      <c r="H14" s="178">
        <f t="shared" ref="H14:H22" si="0">F14/C14</f>
        <v>1</v>
      </c>
      <c r="I14" s="248">
        <f t="shared" ref="I14:I22" si="1">F14/D14</f>
        <v>1</v>
      </c>
      <c r="J14" s="109"/>
      <c r="K14" s="91"/>
      <c r="L14" s="91"/>
      <c r="M14" s="110"/>
    </row>
    <row r="15" spans="1:13" ht="15" x14ac:dyDescent="0.25">
      <c r="A15" s="145"/>
      <c r="B15" s="173" t="s">
        <v>905</v>
      </c>
      <c r="C15" s="241">
        <f>'Emerg Planning Accts'!C20</f>
        <v>1080</v>
      </c>
      <c r="D15" s="241">
        <f>771+309</f>
        <v>1080</v>
      </c>
      <c r="E15" s="241">
        <f t="shared" ref="E15:E22" si="2">C15-D15</f>
        <v>0</v>
      </c>
      <c r="F15" s="241">
        <f>'Emerg Planning Accts'!F20</f>
        <v>1150</v>
      </c>
      <c r="G15" s="241">
        <f>F15-C15</f>
        <v>70</v>
      </c>
      <c r="H15" s="178">
        <f>F15/C15</f>
        <v>1.0648148148148149</v>
      </c>
      <c r="I15" s="248">
        <f>F15/D15</f>
        <v>1.0648148148148149</v>
      </c>
      <c r="J15" s="109"/>
      <c r="K15" s="91"/>
      <c r="L15" s="91"/>
      <c r="M15" s="110"/>
    </row>
    <row r="16" spans="1:13" ht="15" x14ac:dyDescent="0.25">
      <c r="A16" s="145"/>
      <c r="B16" s="173" t="s">
        <v>821</v>
      </c>
      <c r="C16" s="241">
        <f>'Emerg Planning Accts'!C21+'Emerg Planning Accts'!C22</f>
        <v>300</v>
      </c>
      <c r="D16" s="241">
        <v>300</v>
      </c>
      <c r="E16" s="241">
        <f t="shared" si="2"/>
        <v>0</v>
      </c>
      <c r="F16" s="241">
        <f>'Emerg Planning Accts'!F21+'Emerg Planning Accts'!F22</f>
        <v>800</v>
      </c>
      <c r="G16" s="241">
        <f>F16-C16</f>
        <v>500</v>
      </c>
      <c r="H16" s="178">
        <f t="shared" si="0"/>
        <v>2.6666666666666665</v>
      </c>
      <c r="I16" s="248">
        <f t="shared" si="1"/>
        <v>2.6666666666666665</v>
      </c>
      <c r="J16" s="109"/>
      <c r="K16" s="91"/>
      <c r="L16" s="91"/>
      <c r="M16" s="110"/>
    </row>
    <row r="17" spans="1:13" ht="15" x14ac:dyDescent="0.25">
      <c r="A17" s="145"/>
      <c r="B17" s="173" t="s">
        <v>115</v>
      </c>
      <c r="C17" s="241">
        <f>'Emerg Planning Accts'!C23</f>
        <v>1000</v>
      </c>
      <c r="D17" s="241">
        <f>1000</f>
        <v>1000</v>
      </c>
      <c r="E17" s="241">
        <f t="shared" si="2"/>
        <v>0</v>
      </c>
      <c r="F17" s="241">
        <f>'Emerg Planning Accts'!F23</f>
        <v>1000</v>
      </c>
      <c r="G17" s="241">
        <f>F17-C17</f>
        <v>0</v>
      </c>
      <c r="H17" s="178">
        <f t="shared" si="0"/>
        <v>1</v>
      </c>
      <c r="I17" s="248">
        <f t="shared" si="1"/>
        <v>1</v>
      </c>
      <c r="J17" s="109"/>
      <c r="K17" s="91"/>
      <c r="L17" s="91"/>
      <c r="M17" s="110"/>
    </row>
    <row r="18" spans="1:13" ht="15" x14ac:dyDescent="0.25">
      <c r="A18" s="143"/>
      <c r="B18" s="173"/>
      <c r="C18" s="241"/>
      <c r="D18" s="241"/>
      <c r="E18" s="241"/>
      <c r="F18" s="241"/>
      <c r="G18" s="241"/>
      <c r="H18" s="244"/>
      <c r="I18" s="101"/>
      <c r="J18" s="109"/>
      <c r="K18" s="91"/>
      <c r="L18" s="91"/>
      <c r="M18" s="110"/>
    </row>
    <row r="19" spans="1:13" ht="15" x14ac:dyDescent="0.25">
      <c r="A19" s="143" t="s">
        <v>162</v>
      </c>
      <c r="B19" s="173"/>
      <c r="C19" s="241">
        <f>SUM(C14:C17)</f>
        <v>3080</v>
      </c>
      <c r="D19" s="241">
        <f>SUM(D14:D17)</f>
        <v>3080</v>
      </c>
      <c r="E19" s="241">
        <f t="shared" si="2"/>
        <v>0</v>
      </c>
      <c r="F19" s="241">
        <f>SUM(F14:F17)</f>
        <v>3650</v>
      </c>
      <c r="G19" s="241">
        <f>F19-C19</f>
        <v>570</v>
      </c>
      <c r="H19" s="178">
        <f t="shared" si="0"/>
        <v>1.1850649350649352</v>
      </c>
      <c r="I19" s="248">
        <f t="shared" si="1"/>
        <v>1.1850649350649352</v>
      </c>
      <c r="J19" s="109"/>
      <c r="K19" s="91"/>
      <c r="L19" s="91"/>
      <c r="M19" s="110"/>
    </row>
    <row r="20" spans="1:13" ht="15" x14ac:dyDescent="0.25">
      <c r="A20" s="184"/>
      <c r="B20" s="174"/>
      <c r="C20" s="245"/>
      <c r="D20" s="245"/>
      <c r="E20" s="245"/>
      <c r="F20" s="245"/>
      <c r="G20" s="245"/>
      <c r="H20" s="185"/>
      <c r="I20" s="253"/>
      <c r="J20" s="165"/>
      <c r="K20" s="166"/>
      <c r="L20" s="166"/>
      <c r="M20" s="167"/>
    </row>
    <row r="21" spans="1:13" ht="15" x14ac:dyDescent="0.25">
      <c r="A21" s="143"/>
      <c r="B21" s="173"/>
      <c r="C21" s="241"/>
      <c r="D21" s="241"/>
      <c r="E21" s="241"/>
      <c r="F21" s="241"/>
      <c r="G21" s="241"/>
      <c r="H21" s="244"/>
      <c r="I21" s="101"/>
      <c r="J21" s="109"/>
      <c r="K21" s="91"/>
      <c r="L21" s="91"/>
      <c r="M21" s="110"/>
    </row>
    <row r="22" spans="1:13" ht="15" x14ac:dyDescent="0.25">
      <c r="A22" s="143" t="s">
        <v>166</v>
      </c>
      <c r="B22" s="173"/>
      <c r="C22" s="241">
        <f>C19-C9</f>
        <v>3080</v>
      </c>
      <c r="D22" s="241">
        <f>D19-D9</f>
        <v>3080</v>
      </c>
      <c r="E22" s="241">
        <f t="shared" si="2"/>
        <v>0</v>
      </c>
      <c r="F22" s="241">
        <f>F19-F9</f>
        <v>3650</v>
      </c>
      <c r="G22" s="241">
        <f>G19-G9</f>
        <v>570</v>
      </c>
      <c r="H22" s="178">
        <f t="shared" si="0"/>
        <v>1.1850649350649352</v>
      </c>
      <c r="I22" s="248">
        <f t="shared" si="1"/>
        <v>1.1850649350649352</v>
      </c>
      <c r="J22" s="109"/>
      <c r="K22" s="91"/>
      <c r="L22" s="91"/>
      <c r="M22" s="110"/>
    </row>
    <row r="23" spans="1:13" ht="15" x14ac:dyDescent="0.25">
      <c r="A23" s="184"/>
      <c r="B23" s="174"/>
      <c r="C23" s="245"/>
      <c r="D23" s="245"/>
      <c r="E23" s="245"/>
      <c r="F23" s="245"/>
      <c r="G23" s="245"/>
      <c r="H23" s="246"/>
      <c r="I23" s="249"/>
      <c r="J23" s="231"/>
      <c r="K23" s="232"/>
      <c r="L23" s="232"/>
      <c r="M23" s="234"/>
    </row>
  </sheetData>
  <mergeCells count="1">
    <mergeCell ref="J3:M3"/>
  </mergeCells>
  <conditionalFormatting sqref="A7:A10 A14:A17">
    <cfRule type="expression" dxfId="30" priority="1" stopIfTrue="1">
      <formula>AND(COUNTIF($A$1:$A$345, A7)&gt;1,NOT(ISBLANK(A7)))</formula>
    </cfRule>
  </conditionalFormatting>
  <pageMargins left="0.7" right="0.7" top="0.75" bottom="0.75" header="0.3" footer="0.3"/>
  <pageSetup paperSize="5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</sheetPr>
  <dimension ref="A1:M32"/>
  <sheetViews>
    <sheetView zoomScale="90" zoomScaleNormal="90" workbookViewId="0">
      <pane ySplit="3" topLeftCell="A17" activePane="bottomLeft" state="frozen"/>
      <selection activeCell="I6" sqref="I6"/>
      <selection pane="bottomLeft" activeCell="D10" sqref="D10"/>
    </sheetView>
  </sheetViews>
  <sheetFormatPr defaultRowHeight="13.2" x14ac:dyDescent="0.25"/>
  <cols>
    <col min="1" max="1" width="22.6640625" customWidth="1"/>
    <col min="2" max="2" width="34.44140625" customWidth="1"/>
    <col min="3" max="3" width="16.44140625" style="2" customWidth="1"/>
    <col min="4" max="4" width="15.44140625" style="2" customWidth="1"/>
    <col min="5" max="5" width="14.33203125" style="2" customWidth="1"/>
    <col min="6" max="6" width="12.6640625" style="2" customWidth="1"/>
    <col min="7" max="7" width="15.33203125" style="2" customWidth="1"/>
    <col min="8" max="9" width="11.6640625" style="47" customWidth="1"/>
    <col min="10" max="13" width="11.6640625" customWidth="1"/>
  </cols>
  <sheetData>
    <row r="1" spans="1:13" ht="15.6" x14ac:dyDescent="0.3">
      <c r="A1" s="207" t="s">
        <v>11</v>
      </c>
      <c r="B1" s="125"/>
      <c r="C1" s="125"/>
      <c r="D1" s="125"/>
      <c r="E1" s="125"/>
      <c r="F1" s="125"/>
      <c r="G1" s="125"/>
      <c r="H1" s="119"/>
      <c r="I1" s="119"/>
      <c r="J1" s="128"/>
      <c r="K1" s="128"/>
      <c r="L1" s="128"/>
      <c r="M1" s="128"/>
    </row>
    <row r="2" spans="1:13" ht="15.6" x14ac:dyDescent="0.3">
      <c r="A2" s="121" t="str">
        <f>'Fire Accts'!A2</f>
        <v>2026 Draft Budget</v>
      </c>
      <c r="B2" s="201"/>
      <c r="C2" s="202"/>
      <c r="D2" s="202"/>
      <c r="E2" s="202"/>
      <c r="F2" s="202"/>
      <c r="G2" s="202"/>
      <c r="H2" s="124"/>
      <c r="I2" s="124"/>
      <c r="J2" s="105"/>
      <c r="K2" s="105"/>
      <c r="L2" s="105"/>
      <c r="M2" s="105"/>
    </row>
    <row r="3" spans="1:13" ht="90.75" customHeight="1" x14ac:dyDescent="0.25">
      <c r="A3" s="206"/>
      <c r="B3" s="191"/>
      <c r="C3" s="140" t="str">
        <f>'Fire Accts'!C3</f>
        <v>2025 Budget</v>
      </c>
      <c r="D3" s="140" t="str">
        <f>Summary!C5</f>
        <v>2025 Year End Projection per Third Quarter Financials</v>
      </c>
      <c r="E3" s="140" t="str">
        <f>'Fire Accts'!E3</f>
        <v>Variance Budget to Actual</v>
      </c>
      <c r="F3" s="140" t="str">
        <f>'Fire Accts'!F3</f>
        <v>2026 Budget</v>
      </c>
      <c r="G3" s="140" t="str">
        <f>'Fire Accts'!G3</f>
        <v>Variance         Budget to Budget</v>
      </c>
      <c r="H3" s="140" t="str">
        <f>'Fire Accts'!H3</f>
        <v>% Variance Budget to Budget</v>
      </c>
      <c r="I3" s="140" t="str">
        <f>'Fire Accts'!I3</f>
        <v>% Variance 2025 Actual to 2026 Budget</v>
      </c>
      <c r="J3" s="291" t="s">
        <v>901</v>
      </c>
      <c r="K3" s="292"/>
      <c r="L3" s="292"/>
      <c r="M3" s="293"/>
    </row>
    <row r="4" spans="1:13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61"/>
      <c r="K4" s="162"/>
      <c r="L4" s="162"/>
      <c r="M4" s="163"/>
    </row>
    <row r="5" spans="1:13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</row>
    <row r="6" spans="1:13" ht="15" x14ac:dyDescent="0.25">
      <c r="A6" s="143"/>
      <c r="B6" s="173"/>
      <c r="C6" s="97"/>
      <c r="D6" s="97"/>
      <c r="E6" s="97"/>
      <c r="F6" s="97"/>
      <c r="G6" s="97"/>
      <c r="H6" s="100"/>
      <c r="I6" s="98"/>
      <c r="J6" s="203"/>
      <c r="K6" s="200"/>
      <c r="L6" s="200"/>
      <c r="M6" s="204"/>
    </row>
    <row r="7" spans="1:13" ht="44.25" customHeight="1" x14ac:dyDescent="0.25">
      <c r="A7" s="144"/>
      <c r="B7" s="173" t="s">
        <v>902</v>
      </c>
      <c r="C7" s="97">
        <f>'Fire Accts'!C8+'Fire Accts'!C9+'Fire Accts'!C10+'Fire Accts'!C11+'Fire Accts'!C12+'Fire Accts'!C13+'Fire Accts'!C14+'Fire Accts'!C15+'Fire Accts'!C16+'Fire Accts'!C7</f>
        <v>-156661</v>
      </c>
      <c r="D7" s="97">
        <v>-173940</v>
      </c>
      <c r="E7" s="97">
        <f>C7-D7</f>
        <v>17279</v>
      </c>
      <c r="F7" s="97">
        <f>'Fire Accts'!F7+'Fire Accts'!F8+'Fire Accts'!F9+'Fire Accts'!F10+'Fire Accts'!F11+'Fire Accts'!F12+'Fire Accts'!F13+'Fire Accts'!F14+'Fire Accts'!F15+'Fire Accts'!F16</f>
        <v>-147400</v>
      </c>
      <c r="G7" s="97">
        <f>F7-C7</f>
        <v>9261</v>
      </c>
      <c r="H7" s="100">
        <f>F7/C7</f>
        <v>0.94088509584389224</v>
      </c>
      <c r="I7" s="98">
        <f>F7/D7</f>
        <v>0.84741865010923312</v>
      </c>
      <c r="J7" s="205"/>
      <c r="K7" s="208"/>
      <c r="L7" s="91"/>
      <c r="M7" s="110"/>
    </row>
    <row r="8" spans="1:13" ht="15" x14ac:dyDescent="0.25">
      <c r="A8" s="144"/>
      <c r="B8" s="173" t="s">
        <v>38</v>
      </c>
      <c r="C8" s="97">
        <f>'Fire Accts'!C17</f>
        <v>-530750</v>
      </c>
      <c r="D8" s="97">
        <v>-1115000</v>
      </c>
      <c r="E8" s="97">
        <f>C8-D8</f>
        <v>584250</v>
      </c>
      <c r="F8" s="97">
        <f>'Fire Accts'!F17</f>
        <v>-1216650</v>
      </c>
      <c r="G8" s="97">
        <f>F8-C8</f>
        <v>-685900</v>
      </c>
      <c r="H8" s="100">
        <f t="shared" ref="H8:H21" si="0">F8/C8</f>
        <v>2.2923221855864342</v>
      </c>
      <c r="I8" s="98">
        <f t="shared" ref="I8:I21" si="1">F8/D8</f>
        <v>1.0911659192825112</v>
      </c>
      <c r="J8" s="109"/>
      <c r="K8" s="91"/>
      <c r="L8" s="91"/>
      <c r="M8" s="110"/>
    </row>
    <row r="9" spans="1:13" ht="15" x14ac:dyDescent="0.25">
      <c r="A9" s="143"/>
      <c r="B9" s="173"/>
      <c r="C9" s="97"/>
      <c r="D9" s="97"/>
      <c r="E9" s="97"/>
      <c r="F9" s="97"/>
      <c r="G9" s="97"/>
      <c r="H9" s="100"/>
      <c r="I9" s="98"/>
      <c r="J9" s="109"/>
      <c r="K9" s="91"/>
      <c r="L9" s="91"/>
      <c r="M9" s="110"/>
    </row>
    <row r="10" spans="1:13" ht="15" x14ac:dyDescent="0.25">
      <c r="A10" s="143" t="s">
        <v>49</v>
      </c>
      <c r="B10" s="173"/>
      <c r="C10" s="97">
        <f>SUM(C7:C8)</f>
        <v>-687411</v>
      </c>
      <c r="D10" s="97">
        <f>SUM(D7:D8)</f>
        <v>-1288940</v>
      </c>
      <c r="E10" s="97">
        <f>C10-D10</f>
        <v>601529</v>
      </c>
      <c r="F10" s="97">
        <f>SUM(F7:F8)</f>
        <v>-1364050</v>
      </c>
      <c r="G10" s="97">
        <f>SUM(G7:G8)</f>
        <v>-676639</v>
      </c>
      <c r="H10" s="100">
        <f t="shared" si="0"/>
        <v>1.9843296077601318</v>
      </c>
      <c r="I10" s="98">
        <f t="shared" si="1"/>
        <v>1.0582726891864633</v>
      </c>
      <c r="J10" s="109"/>
      <c r="K10" s="91"/>
      <c r="L10" s="91"/>
      <c r="M10" s="110"/>
    </row>
    <row r="11" spans="1:13" ht="15" x14ac:dyDescent="0.25">
      <c r="A11" s="184"/>
      <c r="B11" s="174"/>
      <c r="C11" s="155"/>
      <c r="D11" s="155"/>
      <c r="E11" s="155"/>
      <c r="F11" s="155"/>
      <c r="G11" s="155"/>
      <c r="H11" s="156"/>
      <c r="I11" s="217"/>
      <c r="J11" s="165"/>
      <c r="K11" s="166"/>
      <c r="L11" s="166"/>
      <c r="M11" s="167"/>
    </row>
    <row r="12" spans="1:13" ht="15" x14ac:dyDescent="0.25">
      <c r="A12" s="158"/>
      <c r="B12" s="172"/>
      <c r="C12" s="151"/>
      <c r="D12" s="151"/>
      <c r="E12" s="151"/>
      <c r="F12" s="151"/>
      <c r="G12" s="151"/>
      <c r="H12" s="159"/>
      <c r="I12" s="152"/>
      <c r="J12" s="161"/>
      <c r="K12" s="162"/>
      <c r="L12" s="162"/>
      <c r="M12" s="163"/>
    </row>
    <row r="13" spans="1:13" ht="15" x14ac:dyDescent="0.25">
      <c r="A13" s="143" t="s">
        <v>50</v>
      </c>
      <c r="B13" s="173"/>
      <c r="C13" s="97"/>
      <c r="D13" s="97"/>
      <c r="E13" s="97"/>
      <c r="F13" s="97"/>
      <c r="G13" s="97"/>
      <c r="H13" s="100"/>
      <c r="I13" s="98"/>
      <c r="J13" s="109"/>
      <c r="K13" s="91"/>
      <c r="L13" s="91"/>
      <c r="M13" s="110"/>
    </row>
    <row r="14" spans="1:13" ht="15" x14ac:dyDescent="0.25">
      <c r="A14" s="143"/>
      <c r="B14" s="173"/>
      <c r="C14" s="97"/>
      <c r="D14" s="177"/>
      <c r="E14" s="97"/>
      <c r="F14" s="97"/>
      <c r="G14" s="97"/>
      <c r="H14" s="100"/>
      <c r="I14" s="98"/>
      <c r="J14" s="109"/>
      <c r="K14" s="91"/>
      <c r="L14" s="91"/>
      <c r="M14" s="110"/>
    </row>
    <row r="15" spans="1:13" ht="15" x14ac:dyDescent="0.25">
      <c r="A15" s="256"/>
      <c r="B15" s="173" t="s">
        <v>903</v>
      </c>
      <c r="C15" s="97">
        <f>'Fire Accts'!C24+'Fire Accts'!C25+'Fire Accts'!C26+'Fire Accts'!C27+'Fire Accts'!C28+'Fire Accts'!C29+'Fire Accts'!C30+'Fire Accts'!C31+'Fire Accts'!C32+'Fire Accts'!C33</f>
        <v>511014</v>
      </c>
      <c r="D15" s="97">
        <f>376309+166705</f>
        <v>543014</v>
      </c>
      <c r="E15" s="97">
        <f t="shared" ref="E15:E21" si="2">C15-D15</f>
        <v>-32000</v>
      </c>
      <c r="F15" s="97">
        <f>'Fire Accts'!F24+'Fire Accts'!F25+'Fire Accts'!F26+'Fire Accts'!F27+'Fire Accts'!F28+'Fire Accts'!F29+'Fire Accts'!F30+'Fire Accts'!F31+'Fire Accts'!F32+'Fire Accts'!F33</f>
        <v>580286</v>
      </c>
      <c r="G15" s="97">
        <f t="shared" ref="G15:G21" si="3">F15-C15</f>
        <v>69272</v>
      </c>
      <c r="H15" s="100">
        <f t="shared" si="0"/>
        <v>1.1355579299197283</v>
      </c>
      <c r="I15" s="98">
        <f t="shared" si="1"/>
        <v>1.06863911427698</v>
      </c>
      <c r="J15" s="109"/>
      <c r="K15" s="91"/>
      <c r="L15" s="91"/>
      <c r="M15" s="110"/>
    </row>
    <row r="16" spans="1:13" ht="15" x14ac:dyDescent="0.25">
      <c r="A16" s="257"/>
      <c r="B16" s="173" t="s">
        <v>904</v>
      </c>
      <c r="C16" s="97">
        <f>'Fire Accts'!C34+'Fire Accts'!C35+'Fire Accts'!C36+'Fire Accts'!C37+'Fire Accts'!C38</f>
        <v>19935</v>
      </c>
      <c r="D16" s="97">
        <f>5650+10000</f>
        <v>15650</v>
      </c>
      <c r="E16" s="97">
        <f t="shared" si="2"/>
        <v>4285</v>
      </c>
      <c r="F16" s="97">
        <f>'Fire Accts'!F34+'Fire Accts'!F35+'Fire Accts'!F36+'Fire Accts'!F37+'Fire Accts'!F38</f>
        <v>20235</v>
      </c>
      <c r="G16" s="97">
        <f t="shared" si="3"/>
        <v>300</v>
      </c>
      <c r="H16" s="100">
        <f t="shared" si="0"/>
        <v>1.0150489089541008</v>
      </c>
      <c r="I16" s="98">
        <f t="shared" si="1"/>
        <v>1.2929712460063898</v>
      </c>
      <c r="J16" s="109"/>
      <c r="K16" s="91"/>
      <c r="L16" s="91"/>
      <c r="M16" s="110"/>
    </row>
    <row r="17" spans="1:13" ht="51" customHeight="1" x14ac:dyDescent="0.25">
      <c r="A17" s="256"/>
      <c r="B17" s="173" t="s">
        <v>905</v>
      </c>
      <c r="C17" s="97">
        <f>'Fire Accts'!C39+'Fire Accts'!C40+'Fire Accts'!C41+'Fire Accts'!C42+'Fire Accts'!C43</f>
        <v>108764</v>
      </c>
      <c r="D17" s="97">
        <f>32486+76278</f>
        <v>108764</v>
      </c>
      <c r="E17" s="97">
        <f t="shared" si="2"/>
        <v>0</v>
      </c>
      <c r="F17" s="97">
        <f>'Fire Accts'!F39+'Fire Accts'!F40+'Fire Accts'!F41+'Fire Accts'!F42+'Fire Accts'!F43</f>
        <v>164447</v>
      </c>
      <c r="G17" s="97">
        <f t="shared" si="3"/>
        <v>55683</v>
      </c>
      <c r="H17" s="100">
        <f t="shared" si="0"/>
        <v>1.5119616784965613</v>
      </c>
      <c r="I17" s="98">
        <f t="shared" si="1"/>
        <v>1.5119616784965613</v>
      </c>
      <c r="J17" s="112"/>
      <c r="K17" s="96"/>
      <c r="L17" s="91"/>
      <c r="M17" s="110"/>
    </row>
    <row r="18" spans="1:13" ht="15" x14ac:dyDescent="0.25">
      <c r="A18" s="256"/>
      <c r="B18" s="173" t="s">
        <v>821</v>
      </c>
      <c r="C18" s="97">
        <f>'Fire Accts'!C44+'Fire Accts'!C45+'Fire Accts'!C46+'Fire Accts'!C47+'Fire Accts'!C48+'Fire Accts'!C49+'Fire Accts'!C60</f>
        <v>5500</v>
      </c>
      <c r="D18" s="97">
        <f>7128+500</f>
        <v>7628</v>
      </c>
      <c r="E18" s="97">
        <f t="shared" si="2"/>
        <v>-2128</v>
      </c>
      <c r="F18" s="97">
        <f>'Fire Accts'!F44+'Fire Accts'!F45+'Fire Accts'!F46+'Fire Accts'!F47+'Fire Accts'!F48+'Fire Accts'!F49+'Fire Accts'!F60</f>
        <v>5500</v>
      </c>
      <c r="G18" s="97">
        <f t="shared" si="3"/>
        <v>0</v>
      </c>
      <c r="H18" s="100">
        <f t="shared" si="0"/>
        <v>1</v>
      </c>
      <c r="I18" s="98">
        <f t="shared" si="1"/>
        <v>0.72102779234399583</v>
      </c>
      <c r="J18" s="109"/>
      <c r="K18" s="91"/>
      <c r="L18" s="91"/>
      <c r="M18" s="110"/>
    </row>
    <row r="19" spans="1:13" ht="15" x14ac:dyDescent="0.25">
      <c r="A19" s="144"/>
      <c r="B19" s="173" t="s">
        <v>906</v>
      </c>
      <c r="C19" s="97">
        <f>'Fire Accts'!C50+'Fire Accts'!C51+'Fire Accts'!C52+'Fire Accts'!C53+'Fire Accts'!C54+'Fire Accts'!C55+'Fire Accts'!C56+'Fire Accts'!C57+'Fire Accts'!C58+'Fire Accts'!C59+'Fire Accts'!C61+'Fire Accts'!C62+'Fire Accts'!C63+'Fire Accts'!C64+'Fire Accts'!C65+'Fire Accts'!C66+'Fire Accts'!C67+'Fire Accts'!C68+'Fire Accts'!C69</f>
        <v>121956</v>
      </c>
      <c r="D19" s="97">
        <f>101160+25296</f>
        <v>126456</v>
      </c>
      <c r="E19" s="97">
        <f t="shared" si="2"/>
        <v>-4500</v>
      </c>
      <c r="F19" s="97">
        <f>'Fire Accts'!F50+'Fire Accts'!F51+'Fire Accts'!F52+'Fire Accts'!F53+'Fire Accts'!F54+'Fire Accts'!F55+'Fire Accts'!F56+'Fire Accts'!F57+'Fire Accts'!F58+'Fire Accts'!F59+'Fire Accts'!F61+'Fire Accts'!F62+'Fire Accts'!F63+'Fire Accts'!F64+'Fire Accts'!F65+'Fire Accts'!F66+'Fire Accts'!F67+'Fire Accts'!F68+'Fire Accts'!F69</f>
        <v>123230</v>
      </c>
      <c r="G19" s="97">
        <f t="shared" si="3"/>
        <v>1274</v>
      </c>
      <c r="H19" s="100">
        <f>F19/C19</f>
        <v>1.0104463905014924</v>
      </c>
      <c r="I19" s="98">
        <f>F19/D19</f>
        <v>0.97448915037641548</v>
      </c>
      <c r="J19" s="109"/>
      <c r="K19" s="91"/>
      <c r="L19" s="91"/>
      <c r="M19" s="110"/>
    </row>
    <row r="20" spans="1:13" ht="51.75" customHeight="1" x14ac:dyDescent="0.25">
      <c r="A20" s="144"/>
      <c r="B20" s="173" t="s">
        <v>115</v>
      </c>
      <c r="C20" s="97">
        <f>'Fire Accts'!C70</f>
        <v>515000</v>
      </c>
      <c r="D20" s="97">
        <v>515000</v>
      </c>
      <c r="E20" s="97">
        <f t="shared" si="2"/>
        <v>0</v>
      </c>
      <c r="F20" s="97">
        <f>'Fire Accts'!F70</f>
        <v>0</v>
      </c>
      <c r="G20" s="97">
        <f t="shared" si="3"/>
        <v>-515000</v>
      </c>
      <c r="H20" s="100">
        <f t="shared" si="0"/>
        <v>0</v>
      </c>
      <c r="I20" s="98">
        <f t="shared" si="1"/>
        <v>0</v>
      </c>
      <c r="J20" s="112"/>
      <c r="K20" s="91"/>
      <c r="L20" s="91"/>
      <c r="M20" s="110"/>
    </row>
    <row r="21" spans="1:13" ht="41.25" customHeight="1" x14ac:dyDescent="0.25">
      <c r="A21" s="256"/>
      <c r="B21" s="173" t="s">
        <v>907</v>
      </c>
      <c r="C21" s="97">
        <f>'Fire Accts'!C72</f>
        <v>0</v>
      </c>
      <c r="D21" s="97">
        <f>604963+0</f>
        <v>604963</v>
      </c>
      <c r="E21" s="97">
        <f t="shared" si="2"/>
        <v>-604963</v>
      </c>
      <c r="F21" s="97">
        <f>'Fire Accts'!F72</f>
        <v>1191000</v>
      </c>
      <c r="G21" s="97">
        <f t="shared" si="3"/>
        <v>1191000</v>
      </c>
      <c r="H21" s="100" t="e">
        <f t="shared" si="0"/>
        <v>#DIV/0!</v>
      </c>
      <c r="I21" s="98">
        <f t="shared" si="1"/>
        <v>1.9687154421014177</v>
      </c>
      <c r="J21" s="112"/>
      <c r="K21" s="91"/>
      <c r="L21" s="91"/>
      <c r="M21" s="110"/>
    </row>
    <row r="22" spans="1:13" ht="15" x14ac:dyDescent="0.25">
      <c r="A22" s="143"/>
      <c r="B22" s="173"/>
      <c r="C22" s="97"/>
      <c r="D22" s="97"/>
      <c r="E22" s="97"/>
      <c r="F22" s="97"/>
      <c r="G22" s="97"/>
      <c r="H22" s="100"/>
      <c r="I22" s="100"/>
      <c r="J22" s="109"/>
      <c r="K22" s="91"/>
      <c r="L22" s="91"/>
      <c r="M22" s="110"/>
    </row>
    <row r="23" spans="1:13" ht="16.8" x14ac:dyDescent="0.25">
      <c r="A23" s="144" t="s">
        <v>162</v>
      </c>
      <c r="B23" s="173"/>
      <c r="C23" s="102">
        <f>SUM(C15:C22)</f>
        <v>1282169</v>
      </c>
      <c r="D23" s="102">
        <f>SUM(D15:D22)</f>
        <v>1921475</v>
      </c>
      <c r="E23" s="102">
        <f>SUM(E15:E22)</f>
        <v>-639306</v>
      </c>
      <c r="F23" s="102">
        <f>SUM(F15:F22)</f>
        <v>2084698</v>
      </c>
      <c r="G23" s="102">
        <f>SUM(G15:G21)</f>
        <v>802529</v>
      </c>
      <c r="H23" s="100">
        <f>F23/C23</f>
        <v>1.6259151484710674</v>
      </c>
      <c r="I23" s="98">
        <f>F23/D23</f>
        <v>1.084946720618275</v>
      </c>
      <c r="J23" s="109"/>
      <c r="K23" s="91"/>
      <c r="L23" s="91"/>
      <c r="M23" s="110"/>
    </row>
    <row r="24" spans="1:13" ht="16.8" x14ac:dyDescent="0.25">
      <c r="A24" s="258"/>
      <c r="B24" s="174"/>
      <c r="C24" s="169"/>
      <c r="D24" s="169"/>
      <c r="E24" s="169"/>
      <c r="F24" s="169"/>
      <c r="G24" s="169"/>
      <c r="H24" s="156"/>
      <c r="I24" s="217"/>
      <c r="J24" s="165"/>
      <c r="K24" s="166"/>
      <c r="L24" s="166"/>
      <c r="M24" s="167"/>
    </row>
    <row r="25" spans="1:13" ht="15" x14ac:dyDescent="0.25">
      <c r="A25" s="143"/>
      <c r="B25" s="173"/>
      <c r="C25" s="97"/>
      <c r="D25" s="97"/>
      <c r="E25" s="97"/>
      <c r="F25" s="97"/>
      <c r="G25" s="97"/>
      <c r="H25" s="100"/>
      <c r="I25" s="100"/>
      <c r="J25" s="109"/>
      <c r="K25" s="91"/>
      <c r="L25" s="91"/>
      <c r="M25" s="110"/>
    </row>
    <row r="26" spans="1:13" ht="16.8" x14ac:dyDescent="0.25">
      <c r="A26" s="144" t="s">
        <v>166</v>
      </c>
      <c r="B26" s="173"/>
      <c r="C26" s="103">
        <f>C10+C23</f>
        <v>594758</v>
      </c>
      <c r="D26" s="103">
        <f>D10+D23</f>
        <v>632535</v>
      </c>
      <c r="E26" s="103">
        <f>E10+E23</f>
        <v>-37777</v>
      </c>
      <c r="F26" s="103">
        <f>F10+F23</f>
        <v>720648</v>
      </c>
      <c r="G26" s="103">
        <f>G10+G23</f>
        <v>125890</v>
      </c>
      <c r="H26" s="100">
        <f>F26/C26</f>
        <v>1.2116659212654559</v>
      </c>
      <c r="I26" s="98">
        <f>F26/D26</f>
        <v>1.1393013825321918</v>
      </c>
      <c r="J26" s="109"/>
      <c r="K26" s="91"/>
      <c r="L26" s="91"/>
      <c r="M26" s="110"/>
    </row>
    <row r="27" spans="1:13" x14ac:dyDescent="0.25">
      <c r="A27" s="183"/>
      <c r="B27" s="176"/>
      <c r="C27" s="106"/>
      <c r="D27" s="106"/>
      <c r="E27" s="106"/>
      <c r="F27" s="106"/>
      <c r="G27" s="106"/>
      <c r="H27" s="107"/>
      <c r="I27" s="107"/>
      <c r="J27" s="259"/>
      <c r="K27" s="222"/>
      <c r="L27" s="222"/>
      <c r="M27" s="223"/>
    </row>
    <row r="28" spans="1:13" x14ac:dyDescent="0.25">
      <c r="H28" s="64"/>
    </row>
    <row r="29" spans="1:13" ht="15.6" x14ac:dyDescent="0.3">
      <c r="A29" s="41"/>
      <c r="B29" s="6"/>
      <c r="C29" s="7"/>
      <c r="H29" s="64"/>
    </row>
    <row r="30" spans="1:13" ht="15" x14ac:dyDescent="0.25">
      <c r="A30" s="6"/>
      <c r="B30" s="6"/>
    </row>
    <row r="31" spans="1:13" ht="15" x14ac:dyDescent="0.25">
      <c r="C31" s="7"/>
      <c r="H31" s="64"/>
    </row>
    <row r="32" spans="1:13" x14ac:dyDescent="0.25">
      <c r="H32" s="64"/>
    </row>
  </sheetData>
  <mergeCells count="1">
    <mergeCell ref="J3:M3"/>
  </mergeCells>
  <conditionalFormatting sqref="A7:A8 A15:A20 A23:A24 A26">
    <cfRule type="expression" dxfId="29" priority="1" stopIfTrue="1">
      <formula>AND(COUNTIF($A$1:$A$309, A7)&gt;1,NOT(ISBLANK(A7)))</formula>
    </cfRule>
  </conditionalFormatting>
  <conditionalFormatting sqref="A21">
    <cfRule type="expression" dxfId="28" priority="2" stopIfTrue="1">
      <formula>AND(COUNTIF($A$1:$A$305, A21)&gt;1,NOT(ISBLANK(A21)))</formula>
    </cfRule>
  </conditionalFormatting>
  <pageMargins left="0.7" right="0.7" top="0.75" bottom="0.75" header="0.3" footer="0.3"/>
  <pageSetup paperSize="5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/>
  </sheetPr>
  <dimension ref="A1:R60"/>
  <sheetViews>
    <sheetView zoomScale="90" zoomScaleNormal="90" workbookViewId="0">
      <pane ySplit="3" topLeftCell="A21" activePane="bottomLeft" state="frozen"/>
      <selection activeCell="I6" sqref="I6"/>
      <selection pane="bottomLeft" activeCell="F27" sqref="F27"/>
    </sheetView>
  </sheetViews>
  <sheetFormatPr defaultRowHeight="13.2" x14ac:dyDescent="0.25"/>
  <cols>
    <col min="1" max="1" width="23" customWidth="1"/>
    <col min="2" max="2" width="46.33203125" customWidth="1"/>
    <col min="3" max="3" width="13.5546875" style="2" bestFit="1" customWidth="1"/>
    <col min="4" max="4" width="18.33203125" style="2" customWidth="1"/>
    <col min="5" max="5" width="14.44140625" style="2" bestFit="1" customWidth="1"/>
    <col min="6" max="6" width="14" style="30" customWidth="1"/>
    <col min="7" max="7" width="13.6640625" style="2" customWidth="1"/>
    <col min="8" max="8" width="10.5546875" style="47" bestFit="1" customWidth="1"/>
    <col min="9" max="9" width="16.33203125" style="47" bestFit="1" customWidth="1"/>
    <col min="10" max="15" width="11.33203125" customWidth="1"/>
  </cols>
  <sheetData>
    <row r="1" spans="1:15" ht="15.6" x14ac:dyDescent="0.3">
      <c r="A1" s="126" t="s">
        <v>12</v>
      </c>
      <c r="B1" s="127"/>
      <c r="C1" s="127"/>
      <c r="D1" s="127"/>
      <c r="E1" s="127"/>
      <c r="F1" s="127"/>
      <c r="G1" s="127"/>
      <c r="H1" s="119"/>
      <c r="I1" s="119"/>
      <c r="J1" s="128"/>
      <c r="K1" s="128"/>
      <c r="L1" s="128"/>
      <c r="M1" s="128"/>
    </row>
    <row r="2" spans="1:15" ht="15.6" x14ac:dyDescent="0.3">
      <c r="A2" s="121" t="str">
        <f>'Gen Gov''t Accts'!A2</f>
        <v>2026 Draft Budget</v>
      </c>
      <c r="B2" s="201"/>
      <c r="C2" s="202"/>
      <c r="D2" s="202"/>
      <c r="E2" s="202"/>
      <c r="F2" s="202"/>
      <c r="G2" s="202"/>
      <c r="H2" s="124"/>
      <c r="I2" s="124"/>
      <c r="J2" s="105"/>
      <c r="K2" s="105"/>
      <c r="L2" s="105"/>
      <c r="M2" s="105"/>
    </row>
    <row r="3" spans="1:15" s="6" customFormat="1" ht="60" customHeight="1" x14ac:dyDescent="0.25">
      <c r="A3" s="206"/>
      <c r="B3" s="191"/>
      <c r="C3" s="140" t="str">
        <f>'Gen Gov''t Accts'!C3</f>
        <v>2025 Budget</v>
      </c>
      <c r="D3" s="140" t="str">
        <f>Summary!C5</f>
        <v>2025 Year End Projection per Third Quarter Financials</v>
      </c>
      <c r="E3" s="140" t="str">
        <f>'Gen Gov''t Accts'!E3</f>
        <v>Variance Budget to Actual</v>
      </c>
      <c r="F3" s="140" t="str">
        <f>'Gen Gov''t Accts'!F3</f>
        <v>2026 Budget</v>
      </c>
      <c r="G3" s="140" t="str">
        <f>'Gen Gov''t Accts'!G3</f>
        <v>Variance         Budget to Budget</v>
      </c>
      <c r="H3" s="140" t="str">
        <f>'Gen Gov''t Accts'!H3</f>
        <v>% Variance Budget to Budget</v>
      </c>
      <c r="I3" s="140" t="str">
        <f>'Gen Gov''t Accts'!I3</f>
        <v>% Variance 2025 Actual to 2026 Budget</v>
      </c>
      <c r="J3" s="291" t="s">
        <v>901</v>
      </c>
      <c r="K3" s="292"/>
      <c r="L3" s="292"/>
      <c r="M3" s="293"/>
    </row>
    <row r="4" spans="1:15" ht="15.6" x14ac:dyDescent="0.25">
      <c r="A4" s="158"/>
      <c r="B4" s="172"/>
      <c r="C4" s="151"/>
      <c r="D4" s="151"/>
      <c r="E4" s="151"/>
      <c r="F4" s="273"/>
      <c r="G4" s="151"/>
      <c r="H4" s="152"/>
      <c r="I4" s="152"/>
      <c r="J4" s="262"/>
      <c r="K4" s="224"/>
      <c r="L4" s="224"/>
      <c r="M4" s="225"/>
    </row>
    <row r="5" spans="1:15" ht="15.6" x14ac:dyDescent="0.25">
      <c r="A5" s="143" t="s">
        <v>22</v>
      </c>
      <c r="B5" s="173"/>
      <c r="C5" s="97"/>
      <c r="D5" s="97"/>
      <c r="E5" s="97"/>
      <c r="F5" s="268"/>
      <c r="G5" s="97"/>
      <c r="H5" s="98"/>
      <c r="I5" s="98"/>
      <c r="J5" s="261"/>
      <c r="K5" s="213"/>
      <c r="L5" s="213"/>
      <c r="M5" s="214"/>
    </row>
    <row r="6" spans="1:15" ht="15.6" x14ac:dyDescent="0.25">
      <c r="A6" s="143"/>
      <c r="B6" s="173"/>
      <c r="C6" s="97"/>
      <c r="D6" s="97"/>
      <c r="E6" s="97"/>
      <c r="F6" s="268"/>
      <c r="G6" s="97"/>
      <c r="H6" s="98"/>
      <c r="I6" s="98"/>
      <c r="J6" s="261"/>
      <c r="K6" s="213"/>
      <c r="L6" s="213"/>
      <c r="M6" s="214"/>
    </row>
    <row r="7" spans="1:15" ht="15" x14ac:dyDescent="0.25">
      <c r="A7" s="256"/>
      <c r="B7" s="173" t="s">
        <v>295</v>
      </c>
      <c r="C7" s="97">
        <f>'Gen Gov''t Accts'!C7</f>
        <v>-43860</v>
      </c>
      <c r="D7" s="97">
        <v>-37825</v>
      </c>
      <c r="E7" s="97">
        <f t="shared" ref="E7:E12" si="0">C7-D7</f>
        <v>-6035</v>
      </c>
      <c r="F7" s="97">
        <f>'Gen Gov''t Accts'!F7</f>
        <v>-43860</v>
      </c>
      <c r="G7" s="97">
        <f t="shared" ref="G7:G12" si="1">F7-C7</f>
        <v>0</v>
      </c>
      <c r="H7" s="100">
        <f>F7/C7</f>
        <v>1</v>
      </c>
      <c r="I7" s="100">
        <f>F7/D7</f>
        <v>1.1595505617977528</v>
      </c>
      <c r="J7" s="277"/>
      <c r="K7" s="91"/>
      <c r="L7" s="91"/>
      <c r="M7" s="110"/>
      <c r="N7" s="91"/>
      <c r="O7" s="91"/>
    </row>
    <row r="8" spans="1:15" ht="15" x14ac:dyDescent="0.25">
      <c r="A8" s="256"/>
      <c r="B8" s="173" t="s">
        <v>908</v>
      </c>
      <c r="C8" s="97">
        <f>'Gen Gov''t Accts'!C8+'Gen Gov''t Accts'!C9</f>
        <v>-40000</v>
      </c>
      <c r="D8" s="97">
        <v>-48844</v>
      </c>
      <c r="E8" s="97">
        <f t="shared" si="0"/>
        <v>8844</v>
      </c>
      <c r="F8" s="97">
        <f>'Gen Gov''t Accts'!F8+'Gen Gov''t Accts'!F9</f>
        <v>-40000</v>
      </c>
      <c r="G8" s="97">
        <f t="shared" si="1"/>
        <v>0</v>
      </c>
      <c r="H8" s="100">
        <f t="shared" ref="H8:H31" si="2">F8/C8</f>
        <v>1</v>
      </c>
      <c r="I8" s="100">
        <f t="shared" ref="I8:I31" si="3">F8/D8</f>
        <v>0.81893374825976584</v>
      </c>
      <c r="J8" s="277"/>
      <c r="K8" s="91"/>
      <c r="L8" s="91"/>
      <c r="M8" s="110"/>
      <c r="N8" s="91"/>
      <c r="O8" s="91"/>
    </row>
    <row r="9" spans="1:15" ht="15" x14ac:dyDescent="0.25">
      <c r="A9" s="145"/>
      <c r="B9" s="173" t="s">
        <v>300</v>
      </c>
      <c r="C9" s="97">
        <f>'Gen Gov''t Accts'!C10</f>
        <v>-1459500</v>
      </c>
      <c r="D9" s="97">
        <v>-627250</v>
      </c>
      <c r="E9" s="97">
        <f t="shared" si="0"/>
        <v>-832250</v>
      </c>
      <c r="F9" s="97">
        <f>'Gen Gov''t Accts'!F10</f>
        <v>-1552800</v>
      </c>
      <c r="G9" s="97">
        <f t="shared" si="1"/>
        <v>-93300</v>
      </c>
      <c r="H9" s="100">
        <f t="shared" si="2"/>
        <v>1.0639260020554984</v>
      </c>
      <c r="I9" s="100">
        <f t="shared" si="3"/>
        <v>2.4755679553607015</v>
      </c>
      <c r="J9" s="277"/>
      <c r="K9" s="91"/>
      <c r="L9" s="91"/>
      <c r="M9" s="110"/>
      <c r="N9" s="91"/>
      <c r="O9" s="91"/>
    </row>
    <row r="10" spans="1:15" ht="15" x14ac:dyDescent="0.25">
      <c r="A10" s="145"/>
      <c r="B10" s="173" t="s">
        <v>902</v>
      </c>
      <c r="C10" s="97">
        <f>'Gen Gov''t Accts'!C11+'Gen Gov''t Accts'!C12+'Gen Gov''t Accts'!C13+'Gen Gov''t Accts'!C14+'Gen Gov''t Accts'!C15+'Gen Gov''t Accts'!C16+'Gen Gov''t Accts'!C17+'Gen Gov''t Accts'!C18+'Gen Gov''t Accts'!C19</f>
        <v>-654494</v>
      </c>
      <c r="D10" s="97">
        <v>-1979980</v>
      </c>
      <c r="E10" s="97">
        <f t="shared" si="0"/>
        <v>1325486</v>
      </c>
      <c r="F10" s="97">
        <f>'Gen Gov''t Accts'!F11+'Gen Gov''t Accts'!F12+'Gen Gov''t Accts'!F13+'Gen Gov''t Accts'!F14+'Gen Gov''t Accts'!F15+'Gen Gov''t Accts'!F16+'Gen Gov''t Accts'!F17+'Gen Gov''t Accts'!F18+'Gen Gov''t Accts'!F19</f>
        <v>-561514</v>
      </c>
      <c r="G10" s="97">
        <f t="shared" si="1"/>
        <v>92980</v>
      </c>
      <c r="H10" s="100">
        <f>F10/C10</f>
        <v>0.85793605441761112</v>
      </c>
      <c r="I10" s="100">
        <f>F10/D10</f>
        <v>0.28359579389690803</v>
      </c>
      <c r="J10" s="277"/>
      <c r="K10" s="91"/>
      <c r="L10" s="91"/>
      <c r="M10" s="110"/>
      <c r="N10" s="91"/>
      <c r="O10" s="91"/>
    </row>
    <row r="11" spans="1:15" ht="15" x14ac:dyDescent="0.25">
      <c r="A11" s="143"/>
      <c r="B11" s="173" t="s">
        <v>320</v>
      </c>
      <c r="C11" s="97">
        <f>'Gen Gov''t Accts'!C20</f>
        <v>-571742</v>
      </c>
      <c r="D11" s="97">
        <v>-29607</v>
      </c>
      <c r="E11" s="97">
        <f t="shared" si="0"/>
        <v>-542135</v>
      </c>
      <c r="F11" s="97">
        <f>'Gen Gov''t Accts'!F20</f>
        <v>-830224</v>
      </c>
      <c r="G11" s="97">
        <f t="shared" si="1"/>
        <v>-258482</v>
      </c>
      <c r="H11" s="100">
        <f t="shared" si="2"/>
        <v>1.4520955256042061</v>
      </c>
      <c r="I11" s="100">
        <f t="shared" si="3"/>
        <v>28.041476677812678</v>
      </c>
      <c r="J11" s="277"/>
      <c r="K11" s="91"/>
      <c r="L11" s="91"/>
      <c r="M11" s="110"/>
      <c r="N11" s="91"/>
      <c r="O11" s="91"/>
    </row>
    <row r="12" spans="1:15" ht="15" x14ac:dyDescent="0.25">
      <c r="A12" s="143"/>
      <c r="B12" s="173" t="s">
        <v>208</v>
      </c>
      <c r="C12" s="97">
        <f>'Gen Gov''t Accts'!C21</f>
        <v>0</v>
      </c>
      <c r="D12" s="97"/>
      <c r="E12" s="97">
        <f t="shared" si="0"/>
        <v>0</v>
      </c>
      <c r="F12" s="97">
        <f>'Gen Gov''t Accts'!F21</f>
        <v>0</v>
      </c>
      <c r="G12" s="97">
        <f t="shared" si="1"/>
        <v>0</v>
      </c>
      <c r="H12" s="100" t="e">
        <f t="shared" si="2"/>
        <v>#DIV/0!</v>
      </c>
      <c r="I12" s="100" t="e">
        <f t="shared" si="3"/>
        <v>#DIV/0!</v>
      </c>
      <c r="J12" s="277"/>
      <c r="K12" s="91"/>
      <c r="L12" s="91"/>
      <c r="M12" s="110"/>
      <c r="N12" s="91"/>
      <c r="O12" s="91"/>
    </row>
    <row r="13" spans="1:15" ht="15.6" x14ac:dyDescent="0.25">
      <c r="A13" s="143"/>
      <c r="B13" s="173"/>
      <c r="C13" s="97"/>
      <c r="D13" s="97"/>
      <c r="E13" s="97"/>
      <c r="F13" s="268"/>
      <c r="G13" s="97"/>
      <c r="H13" s="100"/>
      <c r="I13" s="100"/>
      <c r="J13" s="277"/>
      <c r="K13" s="91"/>
      <c r="L13" s="91"/>
      <c r="M13" s="110"/>
      <c r="N13" s="91"/>
      <c r="O13" s="91"/>
    </row>
    <row r="14" spans="1:15" ht="15" x14ac:dyDescent="0.25">
      <c r="A14" s="143" t="s">
        <v>49</v>
      </c>
      <c r="B14" s="173"/>
      <c r="C14" s="177">
        <f>SUM(C7:C13)</f>
        <v>-2769596</v>
      </c>
      <c r="D14" s="177">
        <f>SUM(D7:D13)</f>
        <v>-2723506</v>
      </c>
      <c r="E14" s="177">
        <f>SUM(E7:E13)</f>
        <v>-46090</v>
      </c>
      <c r="F14" s="177">
        <f>SUM(F7:F13)</f>
        <v>-3028398</v>
      </c>
      <c r="G14" s="177">
        <f>SUM(G7:G12)</f>
        <v>-258802</v>
      </c>
      <c r="H14" s="100">
        <f t="shared" si="2"/>
        <v>1.0934439535585696</v>
      </c>
      <c r="I14" s="100">
        <f t="shared" si="3"/>
        <v>1.1119483489296518</v>
      </c>
      <c r="J14" s="277"/>
      <c r="K14" s="91"/>
      <c r="L14" s="91"/>
      <c r="M14" s="110"/>
      <c r="N14" s="91"/>
      <c r="O14" s="91"/>
    </row>
    <row r="15" spans="1:15" ht="15" x14ac:dyDescent="0.25">
      <c r="A15" s="184"/>
      <c r="B15" s="174"/>
      <c r="C15" s="274"/>
      <c r="D15" s="274"/>
      <c r="E15" s="274"/>
      <c r="F15" s="274"/>
      <c r="G15" s="274"/>
      <c r="H15" s="156"/>
      <c r="I15" s="156"/>
      <c r="J15" s="278"/>
      <c r="K15" s="166"/>
      <c r="L15" s="166"/>
      <c r="M15" s="167"/>
      <c r="N15" s="91"/>
      <c r="O15" s="91"/>
    </row>
    <row r="16" spans="1:15" ht="15.6" x14ac:dyDescent="0.25">
      <c r="A16" s="158"/>
      <c r="B16" s="172"/>
      <c r="C16" s="275"/>
      <c r="D16" s="151"/>
      <c r="E16" s="151"/>
      <c r="F16" s="273"/>
      <c r="G16" s="151"/>
      <c r="H16" s="159"/>
      <c r="I16" s="159"/>
      <c r="J16" s="279"/>
      <c r="K16" s="162"/>
      <c r="L16" s="162"/>
      <c r="M16" s="163"/>
      <c r="N16" s="91"/>
      <c r="O16" s="91"/>
    </row>
    <row r="17" spans="1:18" ht="15.6" x14ac:dyDescent="0.25">
      <c r="A17" s="143" t="s">
        <v>50</v>
      </c>
      <c r="B17" s="173"/>
      <c r="C17" s="177"/>
      <c r="D17" s="97"/>
      <c r="E17" s="97"/>
      <c r="F17" s="268"/>
      <c r="G17" s="97"/>
      <c r="H17" s="100"/>
      <c r="I17" s="100"/>
      <c r="J17" s="109"/>
      <c r="K17" s="91"/>
      <c r="L17" s="91"/>
      <c r="M17" s="110"/>
      <c r="N17" s="91"/>
      <c r="O17" s="91"/>
    </row>
    <row r="18" spans="1:18" ht="15" x14ac:dyDescent="0.25">
      <c r="A18" s="256"/>
      <c r="B18" s="173" t="s">
        <v>909</v>
      </c>
      <c r="C18" s="97">
        <f>'Gen Gov''t Accts'!C27+'Gen Gov''t Accts'!C28+'Gen Gov''t Accts'!C29+'Gen Gov''t Accts'!C30+'Gen Gov''t Accts'!C31+'Gen Gov''t Accts'!C32+'Gen Gov''t Accts'!C33</f>
        <v>183032</v>
      </c>
      <c r="D18" s="97">
        <f>134758+48274</f>
        <v>183032</v>
      </c>
      <c r="E18" s="97">
        <f>C18-D18</f>
        <v>0</v>
      </c>
      <c r="F18" s="97">
        <f>'Gen Gov''t Accts'!F27+'Gen Gov''t Accts'!F28+'Gen Gov''t Accts'!F29+'Gen Gov''t Accts'!F30+'Gen Gov''t Accts'!F31+'Gen Gov''t Accts'!F32+'Gen Gov''t Accts'!F33</f>
        <v>185188</v>
      </c>
      <c r="G18" s="97">
        <f t="shared" ref="G18:G31" si="4">F18-C18</f>
        <v>2156</v>
      </c>
      <c r="H18" s="100">
        <f t="shared" si="2"/>
        <v>1.011779360986057</v>
      </c>
      <c r="I18" s="100">
        <f t="shared" si="3"/>
        <v>1.011779360986057</v>
      </c>
      <c r="J18" s="267"/>
      <c r="K18" s="91"/>
      <c r="L18" s="91"/>
      <c r="M18" s="110"/>
      <c r="N18" s="91"/>
      <c r="O18" s="91"/>
    </row>
    <row r="19" spans="1:18" ht="15" x14ac:dyDescent="0.25">
      <c r="A19" s="256"/>
      <c r="B19" s="269" t="s">
        <v>910</v>
      </c>
      <c r="C19" s="97">
        <f>'Gen Gov''t Accts'!C34</f>
        <v>12500</v>
      </c>
      <c r="D19" s="97">
        <f>10098+2402</f>
        <v>12500</v>
      </c>
      <c r="E19" s="97">
        <f t="shared" ref="E19:E31" si="5">C19-D19</f>
        <v>0</v>
      </c>
      <c r="F19" s="97">
        <f>'Gen Gov''t Accts'!F34</f>
        <v>12500</v>
      </c>
      <c r="G19" s="97">
        <f t="shared" si="4"/>
        <v>0</v>
      </c>
      <c r="H19" s="100">
        <f>F19/C19</f>
        <v>1</v>
      </c>
      <c r="I19" s="100">
        <f>F19/D19</f>
        <v>1</v>
      </c>
      <c r="J19" s="267"/>
      <c r="K19" s="91"/>
      <c r="L19" s="91"/>
      <c r="M19" s="110"/>
      <c r="N19" s="91"/>
      <c r="O19" s="91"/>
    </row>
    <row r="20" spans="1:18" ht="15" x14ac:dyDescent="0.25">
      <c r="A20" s="256"/>
      <c r="B20" s="269" t="s">
        <v>911</v>
      </c>
      <c r="C20" s="97">
        <f>'Gen Gov''t Accts'!C35+'Gen Gov''t Accts'!C36</f>
        <v>3050</v>
      </c>
      <c r="D20" s="97">
        <f>675+2375</f>
        <v>3050</v>
      </c>
      <c r="E20" s="97">
        <f t="shared" si="5"/>
        <v>0</v>
      </c>
      <c r="F20" s="97">
        <f>'Gen Gov''t Accts'!F35+'Gen Gov''t Accts'!F36</f>
        <v>2648</v>
      </c>
      <c r="G20" s="97">
        <f t="shared" si="4"/>
        <v>-402</v>
      </c>
      <c r="H20" s="100">
        <f t="shared" si="2"/>
        <v>0.86819672131147541</v>
      </c>
      <c r="I20" s="100">
        <f t="shared" si="3"/>
        <v>0.86819672131147541</v>
      </c>
      <c r="J20" s="267"/>
      <c r="K20" s="91"/>
      <c r="L20" s="91"/>
      <c r="M20" s="110"/>
      <c r="N20" s="91"/>
      <c r="O20" s="91"/>
    </row>
    <row r="21" spans="1:18" ht="15" x14ac:dyDescent="0.25">
      <c r="A21" s="256"/>
      <c r="B21" s="269" t="s">
        <v>912</v>
      </c>
      <c r="C21" s="97">
        <f>'Gen Gov''t Accts'!C37+'Gen Gov''t Accts'!C38+'Gen Gov''t Accts'!C39+'Gen Gov''t Accts'!C40</f>
        <v>24072</v>
      </c>
      <c r="D21" s="97">
        <f>3957+20115</f>
        <v>24072</v>
      </c>
      <c r="E21" s="97">
        <f t="shared" si="5"/>
        <v>0</v>
      </c>
      <c r="F21" s="97">
        <f>'Gen Gov''t Accts'!F37+'Gen Gov''t Accts'!F38+'Gen Gov''t Accts'!F39+'Gen Gov''t Accts'!F40</f>
        <v>58670</v>
      </c>
      <c r="G21" s="97">
        <f t="shared" si="4"/>
        <v>34598</v>
      </c>
      <c r="H21" s="100">
        <f t="shared" si="2"/>
        <v>2.4372715187770022</v>
      </c>
      <c r="I21" s="100">
        <f t="shared" si="3"/>
        <v>2.4372715187770022</v>
      </c>
      <c r="J21" s="109"/>
      <c r="K21" s="91"/>
      <c r="L21" s="91"/>
      <c r="M21" s="110"/>
      <c r="N21" s="91"/>
      <c r="O21" s="91"/>
    </row>
    <row r="22" spans="1:18" ht="15" x14ac:dyDescent="0.25">
      <c r="A22" s="256"/>
      <c r="B22" s="269" t="s">
        <v>913</v>
      </c>
      <c r="C22" s="97">
        <f>'Gen Gov''t Accts'!C41+'Gen Gov''t Accts'!C42</f>
        <v>10876</v>
      </c>
      <c r="D22" s="97">
        <f>10876</f>
        <v>10876</v>
      </c>
      <c r="E22" s="97">
        <f t="shared" si="5"/>
        <v>0</v>
      </c>
      <c r="F22" s="97">
        <f>'Gen Gov''t Accts'!F41+'Gen Gov''t Accts'!F42</f>
        <v>3726</v>
      </c>
      <c r="G22" s="97">
        <f t="shared" si="4"/>
        <v>-7150</v>
      </c>
      <c r="H22" s="100">
        <f t="shared" si="2"/>
        <v>0.34258918720117693</v>
      </c>
      <c r="I22" s="100">
        <f t="shared" si="3"/>
        <v>0.34258918720117693</v>
      </c>
      <c r="J22" s="109"/>
      <c r="K22" s="91"/>
      <c r="L22" s="91"/>
      <c r="M22" s="110"/>
      <c r="N22" s="91"/>
      <c r="O22" s="91"/>
    </row>
    <row r="23" spans="1:18" ht="15" x14ac:dyDescent="0.25">
      <c r="A23" s="256"/>
      <c r="B23" s="269" t="s">
        <v>914</v>
      </c>
      <c r="C23" s="97">
        <f>'Gen Gov''t Accts'!C43+'Gen Gov''t Accts'!C44+'Gen Gov''t Accts'!C45+'Gen Gov''t Accts'!C46+'Gen Gov''t Accts'!C47+'Gen Gov''t Accts'!C48+'Gen Gov''t Accts'!C49+'Gen Gov''t Accts'!C50</f>
        <v>1113799</v>
      </c>
      <c r="D23" s="97">
        <f>808075+305724</f>
        <v>1113799</v>
      </c>
      <c r="E23" s="97">
        <f t="shared" si="5"/>
        <v>0</v>
      </c>
      <c r="F23" s="97">
        <f>'Gen Gov''t Accts'!F43+'Gen Gov''t Accts'!F44+'Gen Gov''t Accts'!F45+'Gen Gov''t Accts'!F46+'Gen Gov''t Accts'!F47+'Gen Gov''t Accts'!F48+'Gen Gov''t Accts'!F49+'Gen Gov''t Accts'!F50</f>
        <v>1359235</v>
      </c>
      <c r="G23" s="97">
        <f t="shared" si="4"/>
        <v>245436</v>
      </c>
      <c r="H23" s="100">
        <f t="shared" si="2"/>
        <v>1.220359328747826</v>
      </c>
      <c r="I23" s="100">
        <f t="shared" si="3"/>
        <v>1.220359328747826</v>
      </c>
      <c r="J23" s="267"/>
      <c r="K23" s="91"/>
      <c r="L23" s="91"/>
      <c r="M23" s="110"/>
      <c r="N23" s="91"/>
      <c r="O23" s="91"/>
    </row>
    <row r="24" spans="1:18" ht="15" x14ac:dyDescent="0.25">
      <c r="A24" s="256"/>
      <c r="B24" s="269" t="s">
        <v>915</v>
      </c>
      <c r="C24" s="97">
        <f>'Gen Gov''t Accts'!C51+'Gen Gov''t Accts'!C52+'Gen Gov''t Accts'!C53+'Gen Gov''t Accts'!C54+'Gen Gov''t Accts'!C55+'Gen Gov''t Accts'!C56</f>
        <v>42861</v>
      </c>
      <c r="D24" s="97">
        <f>27841+15020</f>
        <v>42861</v>
      </c>
      <c r="E24" s="97">
        <f t="shared" si="5"/>
        <v>0</v>
      </c>
      <c r="F24" s="97">
        <f>'Gen Gov''t Accts'!F51+'Gen Gov''t Accts'!F52+'Gen Gov''t Accts'!F53+'Gen Gov''t Accts'!F54+'Gen Gov''t Accts'!F55+'Gen Gov''t Accts'!F56</f>
        <v>45573</v>
      </c>
      <c r="G24" s="97">
        <f t="shared" si="4"/>
        <v>2712</v>
      </c>
      <c r="H24" s="100">
        <f t="shared" si="2"/>
        <v>1.063274305312522</v>
      </c>
      <c r="I24" s="100">
        <f t="shared" si="3"/>
        <v>1.063274305312522</v>
      </c>
      <c r="J24" s="267"/>
      <c r="K24" s="91"/>
      <c r="L24" s="91"/>
      <c r="M24" s="110"/>
      <c r="N24" s="91"/>
      <c r="O24" s="91"/>
    </row>
    <row r="25" spans="1:18" ht="15" x14ac:dyDescent="0.25">
      <c r="A25" s="144"/>
      <c r="B25" s="269" t="s">
        <v>905</v>
      </c>
      <c r="C25" s="97">
        <f>'Gen Gov''t Accts'!C57+'Gen Gov''t Accts'!C58+'Gen Gov''t Accts'!C59+'Gen Gov''t Accts'!C60+'Gen Gov''t Accts'!C61+'Gen Gov''t Accts'!C62+'Gen Gov''t Accts'!C63+'Gen Gov''t Accts'!C64+'Gen Gov''t Accts'!C65+'Gen Gov''t Accts'!C66+'Gen Gov''t Accts'!C67</f>
        <v>209047</v>
      </c>
      <c r="D25" s="97">
        <f>71199+107848</f>
        <v>179047</v>
      </c>
      <c r="E25" s="97">
        <f t="shared" si="5"/>
        <v>30000</v>
      </c>
      <c r="F25" s="97">
        <f>'Gen Gov''t Accts'!F57+'Gen Gov''t Accts'!F58+'Gen Gov''t Accts'!F59+'Gen Gov''t Accts'!F60+'Gen Gov''t Accts'!F61+'Gen Gov''t Accts'!F62+'Gen Gov''t Accts'!F63+'Gen Gov''t Accts'!F64+'Gen Gov''t Accts'!F65+'Gen Gov''t Accts'!F66+'Gen Gov''t Accts'!F67</f>
        <v>221566</v>
      </c>
      <c r="G25" s="97">
        <f t="shared" si="4"/>
        <v>12519</v>
      </c>
      <c r="H25" s="100">
        <f t="shared" si="2"/>
        <v>1.0598860543322794</v>
      </c>
      <c r="I25" s="100">
        <f t="shared" si="3"/>
        <v>1.2374739593514552</v>
      </c>
      <c r="J25" s="280"/>
      <c r="K25" s="91"/>
      <c r="L25" s="91"/>
      <c r="M25" s="110"/>
      <c r="N25" s="91"/>
      <c r="O25" s="91"/>
    </row>
    <row r="26" spans="1:18" ht="15" x14ac:dyDescent="0.25">
      <c r="A26" s="270"/>
      <c r="B26" s="173" t="s">
        <v>821</v>
      </c>
      <c r="C26" s="97">
        <f>'Gen Gov''t Accts'!C68+'Gen Gov''t Accts'!C69+'Gen Gov''t Accts'!C70+'Gen Gov''t Accts'!C71+'Gen Gov''t Accts'!C72+'Gen Gov''t Accts'!C73+'Gen Gov''t Accts'!C74+'Gen Gov''t Accts'!C75+'Gen Gov''t Accts'!C76+'Gen Gov''t Accts'!C77+'Gen Gov''t Accts'!C78+'Gen Gov''t Accts'!C103</f>
        <v>145972</v>
      </c>
      <c r="D26" s="97">
        <f>80363+130822</f>
        <v>211185</v>
      </c>
      <c r="E26" s="97">
        <f t="shared" si="5"/>
        <v>-65213</v>
      </c>
      <c r="F26" s="97">
        <f>'Gen Gov''t Accts'!F68+'Gen Gov''t Accts'!F69+'Gen Gov''t Accts'!F70+'Gen Gov''t Accts'!F71+'Gen Gov''t Accts'!F72+'Gen Gov''t Accts'!F73+'Gen Gov''t Accts'!F74+'Gen Gov''t Accts'!F75+'Gen Gov''t Accts'!F77+'Gen Gov''t Accts'!F78+'Gen Gov''t Accts'!F103</f>
        <v>124948</v>
      </c>
      <c r="G26" s="97">
        <f t="shared" si="4"/>
        <v>-21024</v>
      </c>
      <c r="H26" s="100">
        <f t="shared" si="2"/>
        <v>0.85597237826432471</v>
      </c>
      <c r="I26" s="100">
        <f t="shared" si="3"/>
        <v>0.5916518692141961</v>
      </c>
      <c r="J26" s="267"/>
      <c r="K26" s="91"/>
      <c r="L26" s="91"/>
      <c r="M26" s="110"/>
      <c r="N26" s="91"/>
      <c r="O26" s="91"/>
    </row>
    <row r="27" spans="1:18" ht="15" x14ac:dyDescent="0.25">
      <c r="A27" s="146"/>
      <c r="B27" s="173" t="s">
        <v>906</v>
      </c>
      <c r="C27" s="97">
        <f>'Gen Gov''t Accts'!C79+'Gen Gov''t Accts'!C80+'Gen Gov''t Accts'!C81+'Gen Gov''t Accts'!C82+'Gen Gov''t Accts'!C83+'Gen Gov''t Accts'!C84+'Gen Gov''t Accts'!C85+'Gen Gov''t Accts'!C86+'Gen Gov''t Accts'!C87+'Gen Gov''t Accts'!C88+'Gen Gov''t Accts'!C90+'Gen Gov''t Accts'!C91+'Gen Gov''t Accts'!C92+'Gen Gov''t Accts'!C93+'Gen Gov''t Accts'!C94+'Gen Gov''t Accts'!C95+'Gen Gov''t Accts'!C89+'Gen Gov''t Accts'!C96+'Gen Gov''t Accts'!C98+'Gen Gov''t Accts'!C99+'Gen Gov''t Accts'!C100</f>
        <v>266310</v>
      </c>
      <c r="D27" s="97">
        <f>145912+120398</f>
        <v>266310</v>
      </c>
      <c r="E27" s="97">
        <f t="shared" si="5"/>
        <v>0</v>
      </c>
      <c r="F27" s="97">
        <f>'Gen Gov''t Accts'!F97+'Gen Gov''t Accts'!F98+'Gen Gov''t Accts'!F79+'Gen Gov''t Accts'!F80+'Gen Gov''t Accts'!F81+'Gen Gov''t Accts'!F82+'Gen Gov''t Accts'!F83+'Gen Gov''t Accts'!F84+'Gen Gov''t Accts'!F85+'Gen Gov''t Accts'!F86+'Gen Gov''t Accts'!F87+'Gen Gov''t Accts'!F88+'Gen Gov''t Accts'!F90+'Gen Gov''t Accts'!F91+'Gen Gov''t Accts'!F92+'Gen Gov''t Accts'!F93+'Gen Gov''t Accts'!F94+'Gen Gov''t Accts'!F95+'Gen Gov''t Accts'!F89+'Gen Gov''t Accts'!F96+'Gen Gov''t Accts'!F99+'Gen Gov''t Accts'!F100</f>
        <v>243801</v>
      </c>
      <c r="G27" s="97">
        <f t="shared" si="4"/>
        <v>-22509</v>
      </c>
      <c r="H27" s="100">
        <f t="shared" si="2"/>
        <v>0.91547820209530251</v>
      </c>
      <c r="I27" s="100">
        <f t="shared" si="3"/>
        <v>0.91547820209530251</v>
      </c>
      <c r="J27" s="109"/>
      <c r="K27" s="91"/>
      <c r="L27" s="91"/>
      <c r="M27" s="110"/>
      <c r="N27" s="91"/>
      <c r="O27" s="91"/>
    </row>
    <row r="28" spans="1:18" ht="15" x14ac:dyDescent="0.25">
      <c r="A28" s="144"/>
      <c r="B28" s="173" t="s">
        <v>907</v>
      </c>
      <c r="C28" s="97">
        <f>'Gen Gov''t Accts'!C105+'Gen Gov''t Accts'!C104</f>
        <v>645390</v>
      </c>
      <c r="D28" s="97">
        <f>69250+576140</f>
        <v>645390</v>
      </c>
      <c r="E28" s="97">
        <f t="shared" si="5"/>
        <v>0</v>
      </c>
      <c r="F28" s="97">
        <f>'Gen Gov''t Accts'!F105+'Gen Gov''t Accts'!F104</f>
        <v>869292</v>
      </c>
      <c r="G28" s="97">
        <f t="shared" si="4"/>
        <v>223902</v>
      </c>
      <c r="H28" s="100">
        <f t="shared" si="2"/>
        <v>1.3469251150467159</v>
      </c>
      <c r="I28" s="100">
        <f t="shared" si="3"/>
        <v>1.3469251150467159</v>
      </c>
      <c r="J28" s="230"/>
      <c r="K28" s="271"/>
      <c r="L28" s="271"/>
      <c r="M28" s="281"/>
    </row>
    <row r="29" spans="1:18" ht="15" x14ac:dyDescent="0.25">
      <c r="A29" s="144"/>
      <c r="B29" s="173"/>
      <c r="C29" s="97"/>
      <c r="D29" s="97"/>
      <c r="E29" s="97"/>
      <c r="F29" s="97"/>
      <c r="G29" s="97"/>
      <c r="H29" s="100"/>
      <c r="I29" s="100"/>
      <c r="J29" s="230"/>
      <c r="K29" s="271"/>
      <c r="L29" s="271"/>
      <c r="M29" s="281"/>
      <c r="P29" s="92"/>
      <c r="Q29" s="92"/>
      <c r="R29" s="92"/>
    </row>
    <row r="30" spans="1:18" ht="15" x14ac:dyDescent="0.25">
      <c r="A30" s="145"/>
      <c r="B30" s="173" t="s">
        <v>449</v>
      </c>
      <c r="C30" s="97">
        <f>'Gen Gov''t Accts'!C106</f>
        <v>1243024</v>
      </c>
      <c r="D30" s="97">
        <v>1243024</v>
      </c>
      <c r="E30" s="97">
        <f t="shared" si="5"/>
        <v>0</v>
      </c>
      <c r="F30" s="97">
        <f>'Gen Gov''t Accts'!F106</f>
        <v>1387800</v>
      </c>
      <c r="G30" s="97">
        <f t="shared" si="4"/>
        <v>144776</v>
      </c>
      <c r="H30" s="100">
        <f t="shared" si="2"/>
        <v>1.1164708002419905</v>
      </c>
      <c r="I30" s="100">
        <f t="shared" si="3"/>
        <v>1.1164708002419905</v>
      </c>
      <c r="J30" s="109"/>
      <c r="K30" s="91"/>
      <c r="L30" s="91"/>
      <c r="M30" s="110"/>
      <c r="N30" s="91"/>
      <c r="O30" s="91"/>
    </row>
    <row r="31" spans="1:18" ht="15" x14ac:dyDescent="0.25">
      <c r="A31" s="145"/>
      <c r="B31" s="173" t="s">
        <v>451</v>
      </c>
      <c r="C31" s="97">
        <f>'Gen Gov''t Accts'!C107</f>
        <v>352697</v>
      </c>
      <c r="D31" s="97">
        <v>352697</v>
      </c>
      <c r="E31" s="97">
        <f t="shared" si="5"/>
        <v>0</v>
      </c>
      <c r="F31" s="97">
        <f>'Gen Gov''t Accts'!F107</f>
        <v>406376</v>
      </c>
      <c r="G31" s="97">
        <f t="shared" si="4"/>
        <v>53679</v>
      </c>
      <c r="H31" s="100">
        <f t="shared" si="2"/>
        <v>1.1521957941235679</v>
      </c>
      <c r="I31" s="100">
        <f t="shared" si="3"/>
        <v>1.1521957941235679</v>
      </c>
      <c r="J31" s="267"/>
      <c r="K31" s="91"/>
      <c r="L31" s="91"/>
      <c r="M31" s="110"/>
      <c r="N31" s="91"/>
      <c r="O31" s="91"/>
    </row>
    <row r="32" spans="1:18" ht="15.6" x14ac:dyDescent="0.25">
      <c r="A32" s="143"/>
      <c r="B32" s="173"/>
      <c r="C32" s="97"/>
      <c r="D32" s="97"/>
      <c r="E32" s="97"/>
      <c r="F32" s="268"/>
      <c r="G32" s="97"/>
      <c r="H32" s="100"/>
      <c r="I32" s="100"/>
      <c r="J32" s="109"/>
      <c r="K32" s="91"/>
      <c r="L32" s="91"/>
      <c r="M32" s="110"/>
      <c r="N32" s="91"/>
      <c r="O32" s="91"/>
    </row>
    <row r="33" spans="1:15" ht="15" x14ac:dyDescent="0.25">
      <c r="A33" s="143" t="s">
        <v>162</v>
      </c>
      <c r="B33" s="173"/>
      <c r="C33" s="97">
        <f>SUM(C18:C32)</f>
        <v>4252630</v>
      </c>
      <c r="D33" s="97">
        <f>SUM(D18:D32)</f>
        <v>4287843</v>
      </c>
      <c r="E33" s="97">
        <f>SUM(E18:E32)</f>
        <v>-35213</v>
      </c>
      <c r="F33" s="97">
        <f>SUM(F18:F32)</f>
        <v>4921323</v>
      </c>
      <c r="G33" s="97">
        <f>SUM(G18:G31)</f>
        <v>668693</v>
      </c>
      <c r="H33" s="100">
        <f>F33/C33</f>
        <v>1.157242224223598</v>
      </c>
      <c r="I33" s="100">
        <f>F33/D33</f>
        <v>1.147738618228326</v>
      </c>
      <c r="J33" s="109"/>
      <c r="K33" s="91"/>
      <c r="L33" s="91"/>
      <c r="M33" s="110"/>
      <c r="N33" s="91"/>
      <c r="O33" s="91"/>
    </row>
    <row r="34" spans="1:15" ht="15" x14ac:dyDescent="0.25">
      <c r="A34" s="184"/>
      <c r="B34" s="174"/>
      <c r="C34" s="155"/>
      <c r="D34" s="155"/>
      <c r="E34" s="155"/>
      <c r="F34" s="155"/>
      <c r="G34" s="155"/>
      <c r="H34" s="156"/>
      <c r="I34" s="156"/>
      <c r="J34" s="165"/>
      <c r="K34" s="166"/>
      <c r="L34" s="166"/>
      <c r="M34" s="167"/>
      <c r="N34" s="91"/>
      <c r="O34" s="91"/>
    </row>
    <row r="35" spans="1:15" ht="15.6" x14ac:dyDescent="0.25">
      <c r="A35" s="143"/>
      <c r="B35" s="173"/>
      <c r="C35" s="97"/>
      <c r="D35" s="97"/>
      <c r="E35" s="97"/>
      <c r="F35" s="268"/>
      <c r="G35" s="97"/>
      <c r="H35" s="100"/>
      <c r="I35" s="100"/>
      <c r="J35" s="109"/>
      <c r="K35" s="91"/>
      <c r="L35" s="91"/>
      <c r="M35" s="110"/>
      <c r="N35" s="91"/>
      <c r="O35" s="91"/>
    </row>
    <row r="36" spans="1:15" ht="15" x14ac:dyDescent="0.25">
      <c r="A36" s="143" t="s">
        <v>166</v>
      </c>
      <c r="B36" s="173"/>
      <c r="C36" s="97">
        <f>C14+C33</f>
        <v>1483034</v>
      </c>
      <c r="D36" s="97">
        <f>D14+D33</f>
        <v>1564337</v>
      </c>
      <c r="E36" s="97">
        <f>E14+E33</f>
        <v>-81303</v>
      </c>
      <c r="F36" s="97">
        <f>F14+F33</f>
        <v>1892925</v>
      </c>
      <c r="G36" s="97">
        <f>G14+G33</f>
        <v>409891</v>
      </c>
      <c r="H36" s="100">
        <f>F36/C36</f>
        <v>1.2763867854681685</v>
      </c>
      <c r="I36" s="100">
        <f>F36/D36</f>
        <v>1.2100493691576688</v>
      </c>
      <c r="J36" s="109"/>
      <c r="K36" s="91"/>
      <c r="L36" s="91"/>
      <c r="M36" s="110"/>
      <c r="N36" s="91"/>
      <c r="O36" s="91"/>
    </row>
    <row r="37" spans="1:15" x14ac:dyDescent="0.25">
      <c r="A37" s="231"/>
      <c r="B37" s="232"/>
      <c r="C37" s="233"/>
      <c r="D37" s="233"/>
      <c r="E37" s="233"/>
      <c r="F37" s="272"/>
      <c r="G37" s="233"/>
      <c r="H37" s="246"/>
      <c r="I37" s="246"/>
      <c r="J37" s="259"/>
      <c r="K37" s="222"/>
      <c r="L37" s="222"/>
      <c r="M37" s="223"/>
    </row>
    <row r="39" spans="1:15" x14ac:dyDescent="0.25">
      <c r="A39" s="5"/>
      <c r="B39" s="4"/>
    </row>
    <row r="40" spans="1:15" x14ac:dyDescent="0.25">
      <c r="A40" s="4"/>
    </row>
    <row r="43" spans="1:15" ht="16.8" x14ac:dyDescent="0.4">
      <c r="A43" s="59"/>
      <c r="G43" s="3"/>
    </row>
    <row r="44" spans="1:15" ht="15" x14ac:dyDescent="0.25">
      <c r="A44" s="59"/>
    </row>
    <row r="45" spans="1:15" ht="15" x14ac:dyDescent="0.25">
      <c r="A45" s="59"/>
    </row>
    <row r="46" spans="1:15" ht="15" x14ac:dyDescent="0.25">
      <c r="A46" s="59"/>
    </row>
    <row r="47" spans="1:15" ht="15" x14ac:dyDescent="0.25">
      <c r="A47" s="59"/>
    </row>
    <row r="48" spans="1:15" ht="15" x14ac:dyDescent="0.25">
      <c r="A48" s="59"/>
    </row>
    <row r="49" spans="1:2" ht="15" x14ac:dyDescent="0.25">
      <c r="A49" s="59"/>
    </row>
    <row r="50" spans="1:2" ht="15" x14ac:dyDescent="0.25">
      <c r="A50" s="59"/>
    </row>
    <row r="51" spans="1:2" ht="15" x14ac:dyDescent="0.25">
      <c r="A51" s="59"/>
      <c r="B51" s="6"/>
    </row>
    <row r="52" spans="1:2" ht="15" x14ac:dyDescent="0.25">
      <c r="A52" s="20"/>
      <c r="B52" s="6"/>
    </row>
    <row r="53" spans="1:2" ht="15" x14ac:dyDescent="0.25">
      <c r="A53" s="20"/>
      <c r="B53" s="6"/>
    </row>
    <row r="54" spans="1:2" ht="15" x14ac:dyDescent="0.25">
      <c r="A54" s="60"/>
    </row>
    <row r="55" spans="1:2" ht="15" x14ac:dyDescent="0.25">
      <c r="A55" s="6"/>
    </row>
    <row r="56" spans="1:2" ht="15" x14ac:dyDescent="0.25">
      <c r="A56" s="6"/>
    </row>
    <row r="57" spans="1:2" ht="15" x14ac:dyDescent="0.25">
      <c r="A57" s="31"/>
    </row>
    <row r="58" spans="1:2" ht="15" x14ac:dyDescent="0.25">
      <c r="A58" s="6"/>
    </row>
    <row r="59" spans="1:2" ht="15" x14ac:dyDescent="0.25">
      <c r="A59" s="6"/>
    </row>
    <row r="60" spans="1:2" ht="15" x14ac:dyDescent="0.25">
      <c r="A60" s="6"/>
    </row>
  </sheetData>
  <mergeCells count="1">
    <mergeCell ref="J3:M3"/>
  </mergeCells>
  <conditionalFormatting sqref="A7:A10 A13:A27">
    <cfRule type="expression" dxfId="27" priority="4" stopIfTrue="1">
      <formula>AND(COUNTIF($A$1:$A$317, A7)&gt;1,NOT(ISBLANK(A7)))</formula>
    </cfRule>
  </conditionalFormatting>
  <conditionalFormatting sqref="A11:A12">
    <cfRule type="expression" dxfId="26" priority="5" stopIfTrue="1">
      <formula>AND(COUNTIF($A$1:$A$308, A11)&gt;1,NOT(ISBLANK(A11)))</formula>
    </cfRule>
  </conditionalFormatting>
  <conditionalFormatting sqref="A28:A29">
    <cfRule type="expression" dxfId="25" priority="3" stopIfTrue="1">
      <formula>AND(COUNTIF($A$1:$A$316, A28)&gt;1,NOT(ISBLANK(A28)))</formula>
    </cfRule>
  </conditionalFormatting>
  <conditionalFormatting sqref="A30:A31">
    <cfRule type="expression" dxfId="24" priority="2" stopIfTrue="1">
      <formula>AND(COUNTIF($A$1:$A$309, A30)&gt;1,NOT(ISBLANK(A30)))</formula>
    </cfRule>
  </conditionalFormatting>
  <conditionalFormatting sqref="B19:B25 A43:A54">
    <cfRule type="expression" dxfId="23" priority="1" stopIfTrue="1">
      <formula>AND(COUNTIF($A$1:$A$269, A19)&gt;1,NOT(ISBLANK(A19)))</formula>
    </cfRule>
  </conditionalFormatting>
  <pageMargins left="0.70866141732283472" right="0.70866141732283472" top="0.74803149606299213" bottom="0.74803149606299213" header="0.31496062992125984" footer="0.31496062992125984"/>
  <pageSetup paperSize="5" scale="65" orientation="landscape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</sheetPr>
  <dimension ref="A1:M24"/>
  <sheetViews>
    <sheetView workbookViewId="0">
      <selection activeCell="D8" sqref="D8"/>
    </sheetView>
  </sheetViews>
  <sheetFormatPr defaultRowHeight="13.2" x14ac:dyDescent="0.25"/>
  <cols>
    <col min="1" max="1" width="22.5546875" customWidth="1"/>
    <col min="2" max="2" width="30.44140625" customWidth="1"/>
    <col min="3" max="3" width="14.33203125" style="2" customWidth="1"/>
    <col min="4" max="4" width="17.5546875" style="2" customWidth="1"/>
    <col min="5" max="5" width="11.5546875" style="2" customWidth="1"/>
    <col min="6" max="6" width="15.33203125" style="30" customWidth="1"/>
    <col min="7" max="7" width="16.44140625" style="2" customWidth="1"/>
    <col min="8" max="8" width="11.5546875" style="47" bestFit="1" customWidth="1"/>
    <col min="9" max="9" width="12.6640625" style="47" bestFit="1" customWidth="1"/>
  </cols>
  <sheetData>
    <row r="1" spans="1:13" ht="15.6" x14ac:dyDescent="0.3">
      <c r="A1" s="126" t="s">
        <v>13</v>
      </c>
      <c r="B1" s="127"/>
      <c r="C1" s="127"/>
      <c r="D1" s="127"/>
      <c r="E1" s="127"/>
      <c r="F1" s="127"/>
      <c r="G1" s="127"/>
      <c r="H1" s="118"/>
      <c r="I1" s="119"/>
      <c r="J1" s="128"/>
      <c r="K1" s="128"/>
      <c r="L1" s="128"/>
      <c r="M1" s="128"/>
    </row>
    <row r="2" spans="1:13" ht="15.6" x14ac:dyDescent="0.3">
      <c r="A2" s="121" t="str">
        <f>'Health Accts'!A2</f>
        <v>2026 Draft Budget</v>
      </c>
      <c r="B2" s="122"/>
      <c r="C2" s="123"/>
      <c r="D2" s="123"/>
      <c r="E2" s="123"/>
      <c r="F2" s="282"/>
      <c r="G2" s="123"/>
      <c r="H2" s="124"/>
      <c r="I2" s="124"/>
      <c r="J2" s="105"/>
      <c r="K2" s="105"/>
      <c r="L2" s="105"/>
      <c r="M2" s="105"/>
    </row>
    <row r="3" spans="1:13" ht="60" customHeight="1" x14ac:dyDescent="0.25">
      <c r="A3" s="206"/>
      <c r="B3" s="191"/>
      <c r="C3" s="140" t="str">
        <f>'Health Accts'!C3</f>
        <v>2025 Budget</v>
      </c>
      <c r="D3" s="140" t="str">
        <f>Summary!C5</f>
        <v>2025 Year End Projection per Third Quarter Financials</v>
      </c>
      <c r="E3" s="140" t="str">
        <f>'Health Accts'!E3</f>
        <v>Variance Budget to Actual</v>
      </c>
      <c r="F3" s="140" t="str">
        <f>'Health Accts'!F3</f>
        <v>2026 Budget</v>
      </c>
      <c r="G3" s="140" t="str">
        <f>'Health Accts'!G3</f>
        <v>Variance         Budget to Budget</v>
      </c>
      <c r="H3" s="140" t="str">
        <f>'Health Accts'!H3</f>
        <v>% Variance Budget to Budget</v>
      </c>
      <c r="I3" s="140" t="str">
        <f>'Health Accts'!I3</f>
        <v>% Variance 2025 Actual to 2026 Budget</v>
      </c>
      <c r="J3" s="291" t="s">
        <v>901</v>
      </c>
      <c r="K3" s="292"/>
      <c r="L3" s="292"/>
      <c r="M3" s="293"/>
    </row>
    <row r="4" spans="1:13" ht="15.6" x14ac:dyDescent="0.25">
      <c r="A4" s="158"/>
      <c r="B4" s="172"/>
      <c r="C4" s="151"/>
      <c r="D4" s="151"/>
      <c r="E4" s="151"/>
      <c r="F4" s="273"/>
      <c r="G4" s="151"/>
      <c r="H4" s="152"/>
      <c r="I4" s="152"/>
      <c r="J4" s="276"/>
      <c r="K4" s="265"/>
      <c r="L4" s="265"/>
      <c r="M4" s="266"/>
    </row>
    <row r="5" spans="1:13" ht="15.6" x14ac:dyDescent="0.25">
      <c r="A5" s="143" t="s">
        <v>22</v>
      </c>
      <c r="B5" s="173"/>
      <c r="C5" s="97"/>
      <c r="D5" s="97"/>
      <c r="E5" s="97"/>
      <c r="F5" s="268"/>
      <c r="G5" s="97"/>
      <c r="H5" s="98"/>
      <c r="I5" s="98"/>
      <c r="J5" s="229"/>
      <c r="K5" s="239"/>
      <c r="L5" s="239"/>
      <c r="M5" s="264"/>
    </row>
    <row r="6" spans="1:13" ht="15" x14ac:dyDescent="0.25">
      <c r="A6" s="143"/>
      <c r="B6" s="173" t="s">
        <v>300</v>
      </c>
      <c r="C6" s="97">
        <f>'Health Accts'!C7+'Health Accts'!C8</f>
        <v>0</v>
      </c>
      <c r="D6" s="97"/>
      <c r="E6" s="97">
        <f>C6-D6</f>
        <v>0</v>
      </c>
      <c r="F6" s="97">
        <f>'Health Accts'!F7+'Health Accts'!F8</f>
        <v>0</v>
      </c>
      <c r="G6" s="97">
        <f>F6-C6</f>
        <v>0</v>
      </c>
      <c r="H6" s="100" t="e">
        <f>F6/C6</f>
        <v>#DIV/0!</v>
      </c>
      <c r="I6" s="100" t="e">
        <f>F6/D6</f>
        <v>#DIV/0!</v>
      </c>
      <c r="J6" s="229"/>
      <c r="K6" s="239"/>
      <c r="L6" s="239"/>
      <c r="M6" s="264"/>
    </row>
    <row r="7" spans="1:13" ht="15" x14ac:dyDescent="0.25">
      <c r="A7" s="144"/>
      <c r="B7" s="173" t="s">
        <v>902</v>
      </c>
      <c r="C7" s="97">
        <f>'Health Accts'!C9</f>
        <v>-29682</v>
      </c>
      <c r="D7" s="97">
        <v>-29682</v>
      </c>
      <c r="E7" s="97">
        <f>C7-D7</f>
        <v>0</v>
      </c>
      <c r="F7" s="97">
        <f>'Health Accts'!F9</f>
        <v>-36843</v>
      </c>
      <c r="G7" s="97">
        <f>F7-C7</f>
        <v>-7161</v>
      </c>
      <c r="H7" s="100">
        <f>F7/C7</f>
        <v>1.2412573276733374</v>
      </c>
      <c r="I7" s="100">
        <f>F7/D7</f>
        <v>1.2412573276733374</v>
      </c>
      <c r="J7" s="229"/>
      <c r="K7" s="239"/>
      <c r="L7" s="239"/>
      <c r="M7" s="264"/>
    </row>
    <row r="8" spans="1:13" ht="15" x14ac:dyDescent="0.25">
      <c r="A8" s="144"/>
      <c r="B8" s="173" t="s">
        <v>916</v>
      </c>
      <c r="C8" s="97">
        <f>'Health Accts'!C10</f>
        <v>-175000</v>
      </c>
      <c r="D8" s="97">
        <v>-11973</v>
      </c>
      <c r="E8" s="97">
        <f>C8-D8</f>
        <v>-163027</v>
      </c>
      <c r="F8" s="97">
        <f>'Health Accts'!F10</f>
        <v>-200000</v>
      </c>
      <c r="G8" s="97">
        <f>F8-C8</f>
        <v>-25000</v>
      </c>
      <c r="H8" s="100">
        <f t="shared" ref="H8:H17" si="0">F8/C8</f>
        <v>1.1428571428571428</v>
      </c>
      <c r="I8" s="100">
        <f>F8/D8</f>
        <v>16.704251231938528</v>
      </c>
      <c r="J8" s="229"/>
      <c r="K8" s="239"/>
      <c r="L8" s="239"/>
      <c r="M8" s="264"/>
    </row>
    <row r="9" spans="1:13" ht="15" x14ac:dyDescent="0.25">
      <c r="A9" s="143"/>
      <c r="B9" s="173"/>
      <c r="C9" s="97"/>
      <c r="D9" s="97"/>
      <c r="E9" s="97"/>
      <c r="F9" s="97"/>
      <c r="G9" s="97"/>
      <c r="H9" s="100"/>
      <c r="I9" s="100"/>
      <c r="J9" s="229"/>
      <c r="K9" s="239"/>
      <c r="L9" s="239"/>
      <c r="M9" s="264"/>
    </row>
    <row r="10" spans="1:13" ht="15" x14ac:dyDescent="0.25">
      <c r="A10" s="143" t="s">
        <v>49</v>
      </c>
      <c r="B10" s="173"/>
      <c r="C10" s="97">
        <f>SUM(C6:C9)</f>
        <v>-204682</v>
      </c>
      <c r="D10" s="97">
        <f>SUM(D6:D9)</f>
        <v>-41655</v>
      </c>
      <c r="E10" s="97">
        <f>SUM(E6:E9)</f>
        <v>-163027</v>
      </c>
      <c r="F10" s="97">
        <f>SUM(F6:F9)</f>
        <v>-236843</v>
      </c>
      <c r="G10" s="97">
        <f>SUM(G6:G8)</f>
        <v>-32161</v>
      </c>
      <c r="H10" s="100">
        <f t="shared" si="0"/>
        <v>1.1571266647775573</v>
      </c>
      <c r="I10" s="100">
        <f>F10/D10</f>
        <v>5.6858240307286039</v>
      </c>
      <c r="J10" s="229"/>
      <c r="K10" s="239"/>
      <c r="L10" s="239"/>
      <c r="M10" s="264"/>
    </row>
    <row r="11" spans="1:13" ht="15" x14ac:dyDescent="0.25">
      <c r="A11" s="184"/>
      <c r="B11" s="174"/>
      <c r="C11" s="155"/>
      <c r="D11" s="155"/>
      <c r="E11" s="155"/>
      <c r="F11" s="155"/>
      <c r="G11" s="155"/>
      <c r="H11" s="156"/>
      <c r="I11" s="156"/>
      <c r="J11" s="231"/>
      <c r="K11" s="232"/>
      <c r="L11" s="232"/>
      <c r="M11" s="234"/>
    </row>
    <row r="12" spans="1:13" ht="15" x14ac:dyDescent="0.25">
      <c r="A12" s="158"/>
      <c r="B12" s="172"/>
      <c r="C12" s="151"/>
      <c r="D12" s="151"/>
      <c r="E12" s="151"/>
      <c r="F12" s="151"/>
      <c r="G12" s="151"/>
      <c r="H12" s="159"/>
      <c r="I12" s="159"/>
      <c r="J12" s="276"/>
      <c r="K12" s="265"/>
      <c r="L12" s="265"/>
      <c r="M12" s="266"/>
    </row>
    <row r="13" spans="1:13" ht="15" x14ac:dyDescent="0.25">
      <c r="A13" s="143" t="s">
        <v>50</v>
      </c>
      <c r="B13" s="173"/>
      <c r="C13" s="97"/>
      <c r="D13" s="97"/>
      <c r="E13" s="97"/>
      <c r="F13" s="97"/>
      <c r="G13" s="97"/>
      <c r="H13" s="100"/>
      <c r="I13" s="100"/>
      <c r="J13" s="229"/>
      <c r="K13" s="239"/>
      <c r="L13" s="239"/>
      <c r="M13" s="264"/>
    </row>
    <row r="14" spans="1:13" ht="15" x14ac:dyDescent="0.25">
      <c r="A14" s="143"/>
      <c r="B14" s="173"/>
      <c r="C14" s="97"/>
      <c r="D14" s="97"/>
      <c r="E14" s="97"/>
      <c r="F14" s="97"/>
      <c r="G14" s="97"/>
      <c r="H14" s="100"/>
      <c r="I14" s="100"/>
      <c r="J14" s="229"/>
      <c r="K14" s="239"/>
      <c r="L14" s="239"/>
      <c r="M14" s="264"/>
    </row>
    <row r="15" spans="1:13" ht="15" x14ac:dyDescent="0.25">
      <c r="A15" s="146"/>
      <c r="B15" s="173" t="s">
        <v>905</v>
      </c>
      <c r="C15" s="97">
        <f>'Health Accts'!C16+'Health Accts'!C17+'Health Accts'!C18</f>
        <v>13868</v>
      </c>
      <c r="D15" s="97">
        <f>7096+6772</f>
        <v>13868</v>
      </c>
      <c r="E15" s="97">
        <f>C15-D15</f>
        <v>0</v>
      </c>
      <c r="F15" s="97">
        <f>'Health Accts'!F16+'Health Accts'!F17+'Health Accts'!F18</f>
        <v>13087</v>
      </c>
      <c r="G15" s="97">
        <f>F15-C15</f>
        <v>-781</v>
      </c>
      <c r="H15" s="100">
        <f t="shared" si="0"/>
        <v>0.9436832996827228</v>
      </c>
      <c r="I15" s="100">
        <f>F15/D15</f>
        <v>0.9436832996827228</v>
      </c>
      <c r="J15" s="229"/>
      <c r="K15" s="239"/>
      <c r="L15" s="239"/>
      <c r="M15" s="264"/>
    </row>
    <row r="16" spans="1:13" ht="15" x14ac:dyDescent="0.25">
      <c r="A16" s="146"/>
      <c r="B16" s="173" t="s">
        <v>821</v>
      </c>
      <c r="C16" s="97">
        <f>'Health Accts'!C19+'Health Accts'!C20</f>
        <v>4440</v>
      </c>
      <c r="D16" s="97">
        <f>1379+3061</f>
        <v>4440</v>
      </c>
      <c r="E16" s="97">
        <f>C16-D16</f>
        <v>0</v>
      </c>
      <c r="F16" s="97">
        <f>'Health Accts'!F19+'Health Accts'!F20</f>
        <v>4390</v>
      </c>
      <c r="G16" s="97">
        <f>F16-C16</f>
        <v>-50</v>
      </c>
      <c r="H16" s="100">
        <f>F16/C16</f>
        <v>0.98873873873873874</v>
      </c>
      <c r="I16" s="100">
        <f>F16/D16</f>
        <v>0.98873873873873874</v>
      </c>
      <c r="J16" s="229"/>
      <c r="K16" s="239"/>
      <c r="L16" s="239"/>
      <c r="M16" s="264"/>
    </row>
    <row r="17" spans="1:13" ht="15" x14ac:dyDescent="0.25">
      <c r="A17" s="146"/>
      <c r="B17" s="173" t="s">
        <v>906</v>
      </c>
      <c r="C17" s="97">
        <f>'Health Accts'!C21+'Health Accts'!C22</f>
        <v>17170</v>
      </c>
      <c r="D17" s="97">
        <f>13584+4586</f>
        <v>18170</v>
      </c>
      <c r="E17" s="97">
        <f>C17-D17</f>
        <v>-1000</v>
      </c>
      <c r="F17" s="97">
        <f>'Health Accts'!F21+'Health Accts'!F22</f>
        <v>17874</v>
      </c>
      <c r="G17" s="97">
        <f>F17-C17</f>
        <v>704</v>
      </c>
      <c r="H17" s="100">
        <f t="shared" si="0"/>
        <v>1.0410017472335469</v>
      </c>
      <c r="I17" s="100">
        <f>F17/D17</f>
        <v>0.98370941111722621</v>
      </c>
      <c r="J17" s="229"/>
      <c r="K17" s="239"/>
      <c r="L17" s="239"/>
      <c r="M17" s="264"/>
    </row>
    <row r="18" spans="1:13" ht="15" x14ac:dyDescent="0.25">
      <c r="A18" s="146"/>
      <c r="B18" s="173" t="s">
        <v>907</v>
      </c>
      <c r="C18" s="97">
        <f>'Health Accts'!C24</f>
        <v>175000</v>
      </c>
      <c r="D18" s="97">
        <f>11973+0</f>
        <v>11973</v>
      </c>
      <c r="E18" s="97">
        <f>C18-D18</f>
        <v>163027</v>
      </c>
      <c r="F18" s="97">
        <f>'Health Accts'!F24</f>
        <v>206200</v>
      </c>
      <c r="G18" s="97">
        <f>F18-C18</f>
        <v>31200</v>
      </c>
      <c r="H18" s="100"/>
      <c r="I18" s="100"/>
      <c r="J18" s="229"/>
      <c r="K18" s="239"/>
      <c r="L18" s="239"/>
      <c r="M18" s="264"/>
    </row>
    <row r="19" spans="1:13" ht="15" x14ac:dyDescent="0.25">
      <c r="A19" s="143"/>
      <c r="B19" s="173"/>
      <c r="C19" s="97"/>
      <c r="D19" s="97"/>
      <c r="E19" s="97"/>
      <c r="F19" s="97"/>
      <c r="G19" s="97"/>
      <c r="H19" s="100"/>
      <c r="I19" s="100"/>
      <c r="J19" s="229"/>
      <c r="K19" s="239"/>
      <c r="L19" s="239"/>
      <c r="M19" s="264"/>
    </row>
    <row r="20" spans="1:13" ht="15" x14ac:dyDescent="0.25">
      <c r="A20" s="143" t="s">
        <v>162</v>
      </c>
      <c r="B20" s="173"/>
      <c r="C20" s="97">
        <f>SUM(C15:C19)</f>
        <v>210478</v>
      </c>
      <c r="D20" s="97">
        <f>SUM(D15:D19)</f>
        <v>48451</v>
      </c>
      <c r="E20" s="97">
        <f>SUM(E15:E19)</f>
        <v>162027</v>
      </c>
      <c r="F20" s="97">
        <f>SUM(F15:F19)</f>
        <v>241551</v>
      </c>
      <c r="G20" s="97">
        <f>SUM(G15:G18)</f>
        <v>31073</v>
      </c>
      <c r="H20" s="100">
        <f>F20/C20</f>
        <v>1.1476306312298672</v>
      </c>
      <c r="I20" s="100">
        <f>F20/D20</f>
        <v>4.9854698561433199</v>
      </c>
      <c r="J20" s="229"/>
      <c r="K20" s="239"/>
      <c r="L20" s="239"/>
      <c r="M20" s="264"/>
    </row>
    <row r="21" spans="1:13" ht="15" x14ac:dyDescent="0.25">
      <c r="A21" s="184"/>
      <c r="B21" s="174"/>
      <c r="C21" s="155"/>
      <c r="D21" s="155"/>
      <c r="E21" s="155"/>
      <c r="F21" s="155"/>
      <c r="G21" s="155"/>
      <c r="H21" s="156"/>
      <c r="I21" s="156"/>
      <c r="J21" s="231"/>
      <c r="K21" s="232"/>
      <c r="L21" s="232"/>
      <c r="M21" s="234"/>
    </row>
    <row r="22" spans="1:13" ht="15" x14ac:dyDescent="0.25">
      <c r="A22" s="143"/>
      <c r="B22" s="173"/>
      <c r="C22" s="97"/>
      <c r="D22" s="97"/>
      <c r="E22" s="97"/>
      <c r="F22" s="97"/>
      <c r="G22" s="97"/>
      <c r="H22" s="100"/>
      <c r="I22" s="100"/>
      <c r="J22" s="229"/>
      <c r="K22" s="239"/>
      <c r="L22" s="239"/>
      <c r="M22" s="264"/>
    </row>
    <row r="23" spans="1:13" ht="15" x14ac:dyDescent="0.25">
      <c r="A23" s="143" t="s">
        <v>166</v>
      </c>
      <c r="B23" s="173"/>
      <c r="C23" s="97">
        <f>C10+C20</f>
        <v>5796</v>
      </c>
      <c r="D23" s="97">
        <f>D10+D20</f>
        <v>6796</v>
      </c>
      <c r="E23" s="97">
        <f>E10+E20</f>
        <v>-1000</v>
      </c>
      <c r="F23" s="97">
        <f>F10+F20</f>
        <v>4708</v>
      </c>
      <c r="G23" s="97">
        <f>G10+G20</f>
        <v>-1088</v>
      </c>
      <c r="H23" s="100">
        <f>F23/C23</f>
        <v>0.81228433402346445</v>
      </c>
      <c r="I23" s="100">
        <f>F23/D23</f>
        <v>0.69276044732195408</v>
      </c>
      <c r="J23" s="229"/>
      <c r="K23" s="239"/>
      <c r="L23" s="239"/>
      <c r="M23" s="264"/>
    </row>
    <row r="24" spans="1:13" x14ac:dyDescent="0.25">
      <c r="A24" s="231"/>
      <c r="B24" s="232"/>
      <c r="C24" s="233"/>
      <c r="D24" s="233"/>
      <c r="E24" s="233"/>
      <c r="F24" s="272"/>
      <c r="G24" s="233"/>
      <c r="H24" s="246"/>
      <c r="I24" s="246"/>
      <c r="J24" s="231"/>
      <c r="K24" s="232"/>
      <c r="L24" s="232"/>
      <c r="M24" s="234"/>
    </row>
  </sheetData>
  <mergeCells count="1">
    <mergeCell ref="J3:M3"/>
  </mergeCells>
  <conditionalFormatting sqref="A7:A8 A15:A18">
    <cfRule type="expression" dxfId="22" priority="1" stopIfTrue="1">
      <formula>AND(COUNTIF($A$1:$A$341, A7)&gt;1,NOT(ISBLANK(A7)))</formula>
    </cfRule>
  </conditionalFormatting>
  <pageMargins left="0.7" right="0.7" top="0.75" bottom="0.75" header="0.3" footer="0.3"/>
  <pageSetup paperSize="5" scale="7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L123"/>
  <sheetViews>
    <sheetView zoomScaleNormal="100" workbookViewId="0">
      <pane ySplit="3" topLeftCell="A55" activePane="bottomLeft" state="frozen"/>
      <selection activeCell="C40" sqref="C40"/>
      <selection pane="bottomLeft" activeCell="F62" sqref="F62"/>
    </sheetView>
  </sheetViews>
  <sheetFormatPr defaultRowHeight="15" x14ac:dyDescent="0.25"/>
  <cols>
    <col min="1" max="1" width="20.6640625" customWidth="1"/>
    <col min="2" max="2" width="27.33203125" bestFit="1" customWidth="1"/>
    <col min="3" max="3" width="13.6640625" style="2" customWidth="1"/>
    <col min="4" max="4" width="13.6640625" style="7" customWidth="1"/>
    <col min="5" max="7" width="13.6640625" style="2" customWidth="1"/>
    <col min="8" max="8" width="13.6640625" style="47" customWidth="1"/>
    <col min="9" max="9" width="18.33203125" style="47" customWidth="1"/>
    <col min="14" max="14" width="9" customWidth="1"/>
  </cols>
  <sheetData>
    <row r="1" spans="1:11" ht="15.6" x14ac:dyDescent="0.3">
      <c r="A1" s="289" t="s">
        <v>21</v>
      </c>
      <c r="B1" s="289"/>
      <c r="C1" s="289"/>
      <c r="D1" s="289"/>
      <c r="E1" s="289"/>
      <c r="F1" s="289"/>
      <c r="G1" s="289"/>
      <c r="H1" s="44"/>
      <c r="I1" s="46"/>
    </row>
    <row r="2" spans="1:11" ht="15.6" x14ac:dyDescent="0.3">
      <c r="A2" s="41" t="str">
        <f>Summary!A3</f>
        <v>2026 Draft Budget</v>
      </c>
      <c r="B2" s="6"/>
      <c r="C2" s="7"/>
      <c r="E2" s="7"/>
      <c r="F2" s="7"/>
      <c r="G2" s="7"/>
      <c r="H2" s="46"/>
      <c r="I2" s="46"/>
    </row>
    <row r="3" spans="1:11" ht="90.6" x14ac:dyDescent="0.3">
      <c r="A3" s="71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1" x14ac:dyDescent="0.25">
      <c r="A4" s="10" t="s">
        <v>22</v>
      </c>
      <c r="B4" s="6"/>
      <c r="C4" s="7"/>
      <c r="E4" s="7"/>
      <c r="F4" s="7"/>
      <c r="G4" s="7"/>
      <c r="H4" s="46"/>
      <c r="I4" s="46"/>
    </row>
    <row r="5" spans="1:11" x14ac:dyDescent="0.25">
      <c r="A5" s="6"/>
      <c r="B5" s="6"/>
      <c r="C5" s="7"/>
      <c r="E5" s="7"/>
      <c r="F5" s="7"/>
      <c r="G5" s="7"/>
      <c r="H5" s="46"/>
      <c r="I5" s="46"/>
    </row>
    <row r="6" spans="1:11" x14ac:dyDescent="0.25">
      <c r="A6" s="22" t="s">
        <v>23</v>
      </c>
      <c r="B6" s="6" t="s">
        <v>24</v>
      </c>
      <c r="C6" s="7">
        <v>-350000</v>
      </c>
      <c r="E6" s="7">
        <f t="shared" ref="E6:E13" si="0">C6-D6</f>
        <v>-350000</v>
      </c>
      <c r="F6" s="7">
        <v>-325000</v>
      </c>
      <c r="G6" s="7">
        <f t="shared" ref="G6:G14" si="1">F6-C6</f>
        <v>25000</v>
      </c>
      <c r="H6" s="48">
        <f t="shared" ref="H6:H13" si="2">F6/C6</f>
        <v>0.9285714285714286</v>
      </c>
      <c r="I6" s="48" t="e">
        <f t="shared" ref="I6:I13" si="3">F6/D6</f>
        <v>#DIV/0!</v>
      </c>
      <c r="K6" s="57"/>
    </row>
    <row r="7" spans="1:11" x14ac:dyDescent="0.25">
      <c r="A7" s="22" t="s">
        <v>25</v>
      </c>
      <c r="B7" s="6" t="s">
        <v>26</v>
      </c>
      <c r="C7" s="7">
        <v>-3000</v>
      </c>
      <c r="E7" s="7">
        <f t="shared" si="0"/>
        <v>-3000</v>
      </c>
      <c r="F7" s="7">
        <v>-3500</v>
      </c>
      <c r="G7" s="7">
        <f t="shared" si="1"/>
        <v>-500</v>
      </c>
      <c r="H7" s="48">
        <f t="shared" si="2"/>
        <v>1.1666666666666667</v>
      </c>
      <c r="I7" s="48" t="e">
        <f t="shared" si="3"/>
        <v>#DIV/0!</v>
      </c>
      <c r="K7" s="57"/>
    </row>
    <row r="8" spans="1:11" x14ac:dyDescent="0.25">
      <c r="A8" s="22" t="s">
        <v>27</v>
      </c>
      <c r="B8" s="6" t="s">
        <v>28</v>
      </c>
      <c r="C8" s="7"/>
      <c r="E8" s="7">
        <f t="shared" si="0"/>
        <v>0</v>
      </c>
      <c r="F8" s="7"/>
      <c r="G8" s="7">
        <f t="shared" si="1"/>
        <v>0</v>
      </c>
      <c r="H8" s="48" t="e">
        <f t="shared" si="2"/>
        <v>#DIV/0!</v>
      </c>
      <c r="I8" s="48" t="e">
        <f t="shared" si="3"/>
        <v>#DIV/0!</v>
      </c>
      <c r="K8" s="57"/>
    </row>
    <row r="9" spans="1:11" x14ac:dyDescent="0.25">
      <c r="A9" s="22" t="s">
        <v>29</v>
      </c>
      <c r="B9" s="6" t="s">
        <v>30</v>
      </c>
      <c r="C9" s="7">
        <v>-3500</v>
      </c>
      <c r="E9" s="7">
        <f t="shared" si="0"/>
        <v>-3500</v>
      </c>
      <c r="F9" s="7">
        <v>0</v>
      </c>
      <c r="G9" s="7">
        <f t="shared" si="1"/>
        <v>3500</v>
      </c>
      <c r="H9" s="48">
        <f t="shared" si="2"/>
        <v>0</v>
      </c>
      <c r="I9" s="48" t="e">
        <f t="shared" si="3"/>
        <v>#DIV/0!</v>
      </c>
      <c r="K9" s="57"/>
    </row>
    <row r="10" spans="1:11" x14ac:dyDescent="0.25">
      <c r="A10" s="65" t="s">
        <v>31</v>
      </c>
      <c r="B10" s="6" t="s">
        <v>32</v>
      </c>
      <c r="C10" s="7">
        <v>-700</v>
      </c>
      <c r="E10" s="7">
        <f t="shared" si="0"/>
        <v>-700</v>
      </c>
      <c r="F10" s="7">
        <v>-400</v>
      </c>
      <c r="G10" s="7">
        <f t="shared" si="1"/>
        <v>300</v>
      </c>
      <c r="H10" s="48">
        <f t="shared" si="2"/>
        <v>0.5714285714285714</v>
      </c>
      <c r="I10" s="48" t="e">
        <f t="shared" si="3"/>
        <v>#DIV/0!</v>
      </c>
      <c r="K10" s="57"/>
    </row>
    <row r="11" spans="1:11" x14ac:dyDescent="0.25">
      <c r="A11" s="22" t="s">
        <v>33</v>
      </c>
      <c r="B11" s="6" t="s">
        <v>34</v>
      </c>
      <c r="C11" s="7"/>
      <c r="E11" s="7">
        <f t="shared" si="0"/>
        <v>0</v>
      </c>
      <c r="F11" s="7"/>
      <c r="G11" s="7">
        <f t="shared" si="1"/>
        <v>0</v>
      </c>
      <c r="H11" s="48" t="e">
        <f t="shared" si="2"/>
        <v>#DIV/0!</v>
      </c>
      <c r="I11" s="48" t="e">
        <f t="shared" si="3"/>
        <v>#DIV/0!</v>
      </c>
    </row>
    <row r="12" spans="1:11" x14ac:dyDescent="0.25">
      <c r="A12" s="22" t="s">
        <v>35</v>
      </c>
      <c r="B12" s="6" t="s">
        <v>36</v>
      </c>
      <c r="C12" s="7"/>
      <c r="E12" s="7">
        <f t="shared" si="0"/>
        <v>0</v>
      </c>
      <c r="F12" s="7">
        <v>-25</v>
      </c>
      <c r="G12" s="7">
        <f t="shared" si="1"/>
        <v>-25</v>
      </c>
      <c r="H12" s="48" t="e">
        <f t="shared" si="2"/>
        <v>#DIV/0!</v>
      </c>
      <c r="I12" s="48" t="e">
        <f t="shared" si="3"/>
        <v>#DIV/0!</v>
      </c>
    </row>
    <row r="13" spans="1:11" x14ac:dyDescent="0.25">
      <c r="A13" s="10" t="s">
        <v>37</v>
      </c>
      <c r="B13" s="6" t="s">
        <v>38</v>
      </c>
      <c r="C13" s="7">
        <v>0</v>
      </c>
      <c r="E13" s="7">
        <f t="shared" si="0"/>
        <v>0</v>
      </c>
      <c r="F13" s="7">
        <v>-36800</v>
      </c>
      <c r="G13" s="7">
        <f t="shared" si="1"/>
        <v>-36800</v>
      </c>
      <c r="H13" s="48" t="e">
        <f t="shared" si="2"/>
        <v>#DIV/0!</v>
      </c>
      <c r="I13" s="48" t="e">
        <f t="shared" si="3"/>
        <v>#DIV/0!</v>
      </c>
    </row>
    <row r="14" spans="1:11" x14ac:dyDescent="0.25">
      <c r="A14" s="10"/>
      <c r="B14" s="6"/>
      <c r="C14" s="7"/>
      <c r="E14" s="7"/>
      <c r="F14" s="7"/>
      <c r="G14" s="7">
        <f t="shared" si="1"/>
        <v>0</v>
      </c>
      <c r="H14" s="48"/>
      <c r="I14" s="48"/>
    </row>
    <row r="15" spans="1:11" x14ac:dyDescent="0.25">
      <c r="A15" s="77" t="s">
        <v>39</v>
      </c>
      <c r="B15" s="78"/>
      <c r="C15" s="79">
        <f>SUM(C6:C14)</f>
        <v>-357200</v>
      </c>
      <c r="D15" s="79">
        <f>SUM(D6:D13)</f>
        <v>0</v>
      </c>
      <c r="E15" s="79">
        <f>SUM(E6:E13)</f>
        <v>-357200</v>
      </c>
      <c r="F15" s="79">
        <f>SUM(F6:F13)</f>
        <v>-365725</v>
      </c>
      <c r="G15" s="79">
        <f>SUM(G6:G13)</f>
        <v>-8525</v>
      </c>
      <c r="H15" s="80">
        <f>F15/C15</f>
        <v>1.0238661814109742</v>
      </c>
      <c r="I15" s="80" t="e">
        <f>F15/D15</f>
        <v>#DIV/0!</v>
      </c>
    </row>
    <row r="16" spans="1:11" hidden="1" x14ac:dyDescent="0.25">
      <c r="A16" s="31"/>
      <c r="B16" s="6"/>
      <c r="C16" s="7"/>
      <c r="E16" s="7"/>
      <c r="F16" s="7"/>
      <c r="G16" s="7"/>
      <c r="H16" s="48"/>
      <c r="I16" s="48"/>
    </row>
    <row r="17" spans="1:10" hidden="1" x14ac:dyDescent="0.25">
      <c r="A17" s="10" t="s">
        <v>40</v>
      </c>
      <c r="B17" s="6" t="s">
        <v>41</v>
      </c>
      <c r="C17" s="7">
        <v>0</v>
      </c>
      <c r="E17" s="7">
        <f t="shared" ref="E17:E23" si="4">C17-D17</f>
        <v>0</v>
      </c>
      <c r="F17" s="7">
        <v>0</v>
      </c>
      <c r="G17" s="7">
        <f>F17-C17</f>
        <v>0</v>
      </c>
      <c r="H17" s="58" t="e">
        <f>F17/C17</f>
        <v>#DIV/0!</v>
      </c>
      <c r="I17" s="58" t="e">
        <f>F17/D17</f>
        <v>#DIV/0!</v>
      </c>
    </row>
    <row r="18" spans="1:10" hidden="1" x14ac:dyDescent="0.25">
      <c r="A18" s="10"/>
      <c r="B18" s="6"/>
      <c r="C18" s="7"/>
      <c r="E18" s="7"/>
      <c r="F18" s="7"/>
      <c r="G18" s="7"/>
      <c r="H18" s="58"/>
      <c r="I18" s="58"/>
    </row>
    <row r="19" spans="1:10" hidden="1" x14ac:dyDescent="0.25">
      <c r="A19" s="34" t="s">
        <v>42</v>
      </c>
      <c r="B19" s="32"/>
      <c r="C19" s="33">
        <f>SUM(C17:C18)</f>
        <v>0</v>
      </c>
      <c r="D19" s="33">
        <f>SUM(D17:D17)</f>
        <v>0</v>
      </c>
      <c r="E19" s="33">
        <f>SUM(E17:E17)</f>
        <v>0</v>
      </c>
      <c r="F19" s="33">
        <f>SUM(F17:F17)</f>
        <v>0</v>
      </c>
      <c r="G19" s="33">
        <f>SUM(G17:G17)</f>
        <v>0</v>
      </c>
      <c r="H19" s="49" t="e">
        <f>F19/C19</f>
        <v>#DIV/0!</v>
      </c>
      <c r="I19" s="49" t="e">
        <f>F19/D19</f>
        <v>#DIV/0!</v>
      </c>
    </row>
    <row r="20" spans="1:10" hidden="1" x14ac:dyDescent="0.25">
      <c r="A20" s="40"/>
      <c r="B20" s="37"/>
      <c r="C20" s="38"/>
      <c r="D20" s="38"/>
      <c r="E20" s="38"/>
      <c r="F20" s="38"/>
      <c r="G20" s="38"/>
      <c r="H20" s="48"/>
      <c r="I20" s="48"/>
    </row>
    <row r="21" spans="1:10" hidden="1" x14ac:dyDescent="0.25">
      <c r="A21" s="10" t="s">
        <v>43</v>
      </c>
      <c r="B21" s="6" t="s">
        <v>44</v>
      </c>
      <c r="C21" s="7">
        <v>0</v>
      </c>
      <c r="E21" s="7">
        <f t="shared" si="4"/>
        <v>0</v>
      </c>
      <c r="F21" s="7">
        <v>0</v>
      </c>
      <c r="G21" s="7">
        <f>F21-C21</f>
        <v>0</v>
      </c>
      <c r="H21" s="58" t="e">
        <f>F21/C21</f>
        <v>#DIV/0!</v>
      </c>
      <c r="I21" s="58" t="e">
        <f>F21/D21</f>
        <v>#DIV/0!</v>
      </c>
    </row>
    <row r="22" spans="1:10" hidden="1" x14ac:dyDescent="0.25">
      <c r="A22" s="10" t="s">
        <v>45</v>
      </c>
      <c r="B22" s="6" t="s">
        <v>46</v>
      </c>
      <c r="C22" s="7">
        <v>0</v>
      </c>
      <c r="E22" s="7">
        <f t="shared" si="4"/>
        <v>0</v>
      </c>
      <c r="F22" s="7">
        <v>0</v>
      </c>
      <c r="G22" s="7">
        <f>F22-C22</f>
        <v>0</v>
      </c>
      <c r="H22" s="58" t="e">
        <f>F22/C22</f>
        <v>#DIV/0!</v>
      </c>
      <c r="I22" s="58" t="e">
        <f>F22/D22</f>
        <v>#DIV/0!</v>
      </c>
    </row>
    <row r="23" spans="1:10" hidden="1" x14ac:dyDescent="0.25">
      <c r="A23" s="10" t="s">
        <v>47</v>
      </c>
      <c r="B23" s="6" t="s">
        <v>38</v>
      </c>
      <c r="C23" s="7">
        <v>0</v>
      </c>
      <c r="E23" s="7">
        <f t="shared" si="4"/>
        <v>0</v>
      </c>
      <c r="F23" s="7">
        <v>0</v>
      </c>
      <c r="G23" s="7">
        <f>F23-C23</f>
        <v>0</v>
      </c>
      <c r="H23" s="58" t="e">
        <f>F23/C23</f>
        <v>#DIV/0!</v>
      </c>
      <c r="I23" s="58" t="e">
        <f>F23/D23</f>
        <v>#DIV/0!</v>
      </c>
    </row>
    <row r="24" spans="1:10" hidden="1" x14ac:dyDescent="0.25">
      <c r="A24" s="10"/>
      <c r="B24" s="6"/>
      <c r="C24" s="7"/>
      <c r="E24" s="7"/>
      <c r="F24" s="7"/>
      <c r="G24" s="7"/>
      <c r="H24" s="58"/>
      <c r="I24" s="58"/>
    </row>
    <row r="25" spans="1:10" hidden="1" x14ac:dyDescent="0.25">
      <c r="A25" s="55" t="s">
        <v>48</v>
      </c>
      <c r="B25" s="52"/>
      <c r="C25" s="53">
        <f>SUM(C21:C23)</f>
        <v>0</v>
      </c>
      <c r="D25" s="53">
        <f>SUM(D21:D23)</f>
        <v>0</v>
      </c>
      <c r="E25" s="53">
        <f>SUM(E21:E23)</f>
        <v>0</v>
      </c>
      <c r="F25" s="53">
        <f>SUM(F21:F23)</f>
        <v>0</v>
      </c>
      <c r="G25" s="53">
        <f>SUM(G21:G23)</f>
        <v>0</v>
      </c>
      <c r="H25" s="54" t="e">
        <f>F25/C25</f>
        <v>#DIV/0!</v>
      </c>
      <c r="I25" s="54" t="e">
        <f>F25/D25</f>
        <v>#DIV/0!</v>
      </c>
    </row>
    <row r="26" spans="1:10" hidden="1" x14ac:dyDescent="0.25">
      <c r="A26" s="6"/>
      <c r="B26" s="6"/>
      <c r="C26" s="7"/>
      <c r="E26" s="7"/>
      <c r="F26" s="7"/>
      <c r="G26" s="7"/>
      <c r="H26" s="48"/>
      <c r="I26" s="48"/>
    </row>
    <row r="27" spans="1:10" hidden="1" x14ac:dyDescent="0.25">
      <c r="A27" s="10" t="s">
        <v>49</v>
      </c>
      <c r="B27" s="6"/>
      <c r="C27" s="7">
        <f>C15+C19+C25</f>
        <v>-357200</v>
      </c>
      <c r="D27" s="7">
        <f>D15+D19+D25</f>
        <v>0</v>
      </c>
      <c r="E27" s="7">
        <f>E15+E19+E25</f>
        <v>-357200</v>
      </c>
      <c r="F27" s="7">
        <f>F15+F19+F25</f>
        <v>-365725</v>
      </c>
      <c r="G27" s="7">
        <f>G15+G19+G25</f>
        <v>-8525</v>
      </c>
      <c r="H27" s="48">
        <f>F27/C27</f>
        <v>1.0238661814109742</v>
      </c>
      <c r="I27" s="48" t="e">
        <f>F27/D27</f>
        <v>#DIV/0!</v>
      </c>
    </row>
    <row r="28" spans="1:10" x14ac:dyDescent="0.25">
      <c r="A28" s="6"/>
      <c r="B28" s="6"/>
      <c r="C28" s="7"/>
      <c r="E28" s="7"/>
      <c r="F28" s="7"/>
      <c r="G28" s="7"/>
      <c r="H28" s="48"/>
      <c r="I28" s="48"/>
    </row>
    <row r="29" spans="1:10" x14ac:dyDescent="0.25">
      <c r="A29" s="10" t="s">
        <v>50</v>
      </c>
      <c r="B29" s="6"/>
      <c r="C29" s="7"/>
      <c r="E29" s="7"/>
      <c r="F29" s="7"/>
      <c r="G29" s="7"/>
      <c r="H29" s="48"/>
      <c r="I29" s="48"/>
    </row>
    <row r="30" spans="1:10" x14ac:dyDescent="0.25">
      <c r="A30" s="78" t="s">
        <v>51</v>
      </c>
      <c r="B30" s="78"/>
      <c r="C30" s="79"/>
      <c r="D30" s="79"/>
      <c r="E30" s="79"/>
      <c r="F30" s="79"/>
      <c r="G30" s="79"/>
      <c r="H30" s="80"/>
      <c r="I30" s="80"/>
    </row>
    <row r="31" spans="1:10" x14ac:dyDescent="0.25">
      <c r="A31" s="28" t="s">
        <v>52</v>
      </c>
      <c r="B31" s="6" t="s">
        <v>53</v>
      </c>
      <c r="C31" s="7">
        <v>348722</v>
      </c>
      <c r="E31" s="7">
        <f t="shared" ref="E31:E63" si="5">C31-D31</f>
        <v>348722</v>
      </c>
      <c r="F31" s="7">
        <v>331837</v>
      </c>
      <c r="G31" s="7">
        <f t="shared" ref="G31:G63" si="6">F31-C31</f>
        <v>-16885</v>
      </c>
      <c r="H31" s="48">
        <f t="shared" ref="H31:H65" si="7">F31/C31</f>
        <v>0.95158034193426277</v>
      </c>
      <c r="I31" s="48" t="e">
        <f t="shared" ref="I31:I65" si="8">F31/D31</f>
        <v>#DIV/0!</v>
      </c>
    </row>
    <row r="32" spans="1:10" x14ac:dyDescent="0.25">
      <c r="A32" s="21" t="s">
        <v>54</v>
      </c>
      <c r="B32" s="6" t="s">
        <v>55</v>
      </c>
      <c r="C32" s="7">
        <v>12253</v>
      </c>
      <c r="E32" s="7">
        <f t="shared" si="5"/>
        <v>12253</v>
      </c>
      <c r="F32" s="7"/>
      <c r="G32" s="7">
        <f t="shared" si="6"/>
        <v>-12253</v>
      </c>
      <c r="H32" s="48">
        <f t="shared" si="7"/>
        <v>0</v>
      </c>
      <c r="I32" s="48" t="e">
        <f t="shared" si="8"/>
        <v>#DIV/0!</v>
      </c>
      <c r="J32" s="2">
        <f>SUM(F31:F37)</f>
        <v>435930</v>
      </c>
    </row>
    <row r="33" spans="1:11" x14ac:dyDescent="0.25">
      <c r="A33" s="28" t="s">
        <v>56</v>
      </c>
      <c r="B33" s="6" t="s">
        <v>57</v>
      </c>
      <c r="C33" s="7">
        <v>22991</v>
      </c>
      <c r="E33" s="7">
        <f t="shared" si="5"/>
        <v>22991</v>
      </c>
      <c r="F33" s="7">
        <v>19844</v>
      </c>
      <c r="G33" s="7">
        <f t="shared" si="6"/>
        <v>-3147</v>
      </c>
      <c r="H33" s="48">
        <f t="shared" si="7"/>
        <v>0.86312035144186861</v>
      </c>
      <c r="I33" s="48" t="e">
        <f t="shared" si="8"/>
        <v>#DIV/0!</v>
      </c>
      <c r="K33" s="2"/>
    </row>
    <row r="34" spans="1:11" x14ac:dyDescent="0.25">
      <c r="A34" s="28" t="s">
        <v>58</v>
      </c>
      <c r="B34" s="6" t="s">
        <v>59</v>
      </c>
      <c r="C34" s="7">
        <v>7039</v>
      </c>
      <c r="E34" s="7">
        <f t="shared" si="5"/>
        <v>7039</v>
      </c>
      <c r="F34" s="7">
        <v>6632</v>
      </c>
      <c r="G34" s="7">
        <f t="shared" si="6"/>
        <v>-407</v>
      </c>
      <c r="H34" s="48">
        <f t="shared" si="7"/>
        <v>0.94217928683051566</v>
      </c>
      <c r="I34" s="48" t="e">
        <f t="shared" si="8"/>
        <v>#DIV/0!</v>
      </c>
      <c r="K34" s="2"/>
    </row>
    <row r="35" spans="1:11" x14ac:dyDescent="0.25">
      <c r="A35" s="28" t="s">
        <v>60</v>
      </c>
      <c r="B35" s="6" t="s">
        <v>61</v>
      </c>
      <c r="C35" s="7">
        <v>10969</v>
      </c>
      <c r="E35" s="7">
        <f t="shared" si="5"/>
        <v>10969</v>
      </c>
      <c r="F35" s="7">
        <v>10315</v>
      </c>
      <c r="G35" s="7">
        <f t="shared" si="6"/>
        <v>-654</v>
      </c>
      <c r="H35" s="48">
        <f t="shared" si="7"/>
        <v>0.94037742729510443</v>
      </c>
      <c r="I35" s="48" t="e">
        <f t="shared" si="8"/>
        <v>#DIV/0!</v>
      </c>
      <c r="K35" s="2"/>
    </row>
    <row r="36" spans="1:11" x14ac:dyDescent="0.25">
      <c r="A36" s="28" t="s">
        <v>62</v>
      </c>
      <c r="B36" s="6" t="s">
        <v>63</v>
      </c>
      <c r="C36" s="7">
        <v>35326</v>
      </c>
      <c r="E36" s="7">
        <f t="shared" si="5"/>
        <v>35326</v>
      </c>
      <c r="F36" s="7">
        <v>34428</v>
      </c>
      <c r="G36" s="7">
        <f t="shared" si="6"/>
        <v>-898</v>
      </c>
      <c r="H36" s="48">
        <f t="shared" si="7"/>
        <v>0.97457962973447321</v>
      </c>
      <c r="I36" s="48" t="e">
        <f t="shared" si="8"/>
        <v>#DIV/0!</v>
      </c>
      <c r="K36" s="2"/>
    </row>
    <row r="37" spans="1:11" x14ac:dyDescent="0.25">
      <c r="A37" s="28" t="s">
        <v>64</v>
      </c>
      <c r="B37" s="6" t="s">
        <v>65</v>
      </c>
      <c r="C37" s="7">
        <v>41949</v>
      </c>
      <c r="E37" s="7">
        <f t="shared" si="5"/>
        <v>41949</v>
      </c>
      <c r="F37" s="7">
        <v>32874</v>
      </c>
      <c r="G37" s="7">
        <f t="shared" si="6"/>
        <v>-9075</v>
      </c>
      <c r="H37" s="48">
        <f t="shared" si="7"/>
        <v>0.78366587999713944</v>
      </c>
      <c r="I37" s="48" t="e">
        <f t="shared" si="8"/>
        <v>#DIV/0!</v>
      </c>
    </row>
    <row r="38" spans="1:11" x14ac:dyDescent="0.25">
      <c r="A38" s="21" t="s">
        <v>66</v>
      </c>
      <c r="B38" s="6" t="s">
        <v>67</v>
      </c>
      <c r="C38" s="7">
        <v>0</v>
      </c>
      <c r="E38" s="7">
        <f t="shared" si="5"/>
        <v>0</v>
      </c>
      <c r="F38" s="7"/>
      <c r="G38" s="7">
        <f t="shared" si="6"/>
        <v>0</v>
      </c>
      <c r="H38" s="48" t="e">
        <f t="shared" si="7"/>
        <v>#DIV/0!</v>
      </c>
      <c r="I38" s="48" t="e">
        <f t="shared" si="8"/>
        <v>#DIV/0!</v>
      </c>
    </row>
    <row r="39" spans="1:11" x14ac:dyDescent="0.25">
      <c r="A39" s="26" t="s">
        <v>68</v>
      </c>
      <c r="B39" s="6" t="s">
        <v>69</v>
      </c>
      <c r="C39" s="7">
        <v>955</v>
      </c>
      <c r="E39" s="7">
        <f t="shared" si="5"/>
        <v>955</v>
      </c>
      <c r="F39" s="7">
        <v>1725</v>
      </c>
      <c r="G39" s="7">
        <f t="shared" si="6"/>
        <v>770</v>
      </c>
      <c r="H39" s="48">
        <f t="shared" si="7"/>
        <v>1.8062827225130891</v>
      </c>
      <c r="I39" s="48" t="e">
        <f t="shared" si="8"/>
        <v>#DIV/0!</v>
      </c>
      <c r="J39" s="4"/>
    </row>
    <row r="40" spans="1:11" x14ac:dyDescent="0.25">
      <c r="A40" s="28" t="s">
        <v>70</v>
      </c>
      <c r="B40" s="6" t="s">
        <v>71</v>
      </c>
      <c r="C40" s="7">
        <v>0</v>
      </c>
      <c r="E40" s="7">
        <f t="shared" si="5"/>
        <v>0</v>
      </c>
      <c r="F40" s="7">
        <v>0</v>
      </c>
      <c r="G40" s="7">
        <f t="shared" si="6"/>
        <v>0</v>
      </c>
      <c r="H40" s="48" t="e">
        <f t="shared" si="7"/>
        <v>#DIV/0!</v>
      </c>
      <c r="I40" s="48" t="e">
        <f t="shared" si="8"/>
        <v>#DIV/0!</v>
      </c>
    </row>
    <row r="41" spans="1:11" x14ac:dyDescent="0.25">
      <c r="A41" s="21" t="s">
        <v>72</v>
      </c>
      <c r="B41" s="6" t="s">
        <v>73</v>
      </c>
      <c r="C41" s="7">
        <v>500</v>
      </c>
      <c r="E41" s="7">
        <f t="shared" si="5"/>
        <v>500</v>
      </c>
      <c r="F41" s="7">
        <v>500</v>
      </c>
      <c r="G41" s="7">
        <f t="shared" si="6"/>
        <v>0</v>
      </c>
      <c r="H41" s="48">
        <f t="shared" si="7"/>
        <v>1</v>
      </c>
      <c r="I41" s="48" t="e">
        <f t="shared" si="8"/>
        <v>#DIV/0!</v>
      </c>
    </row>
    <row r="42" spans="1:11" x14ac:dyDescent="0.25">
      <c r="A42" s="21" t="s">
        <v>74</v>
      </c>
      <c r="B42" s="6" t="s">
        <v>75</v>
      </c>
      <c r="C42" s="7">
        <v>5000</v>
      </c>
      <c r="E42" s="7">
        <f t="shared" si="5"/>
        <v>5000</v>
      </c>
      <c r="F42" s="7">
        <v>5000</v>
      </c>
      <c r="G42" s="7">
        <f t="shared" si="6"/>
        <v>0</v>
      </c>
      <c r="H42" s="48">
        <f t="shared" si="7"/>
        <v>1</v>
      </c>
      <c r="I42" s="48" t="e">
        <f t="shared" si="8"/>
        <v>#DIV/0!</v>
      </c>
    </row>
    <row r="43" spans="1:11" x14ac:dyDescent="0.25">
      <c r="A43" s="21" t="s">
        <v>76</v>
      </c>
      <c r="B43" s="6" t="s">
        <v>77</v>
      </c>
      <c r="C43" s="7">
        <v>1175</v>
      </c>
      <c r="E43" s="7">
        <f t="shared" si="5"/>
        <v>1175</v>
      </c>
      <c r="F43" s="7">
        <v>1200</v>
      </c>
      <c r="G43" s="7">
        <f t="shared" si="6"/>
        <v>25</v>
      </c>
      <c r="H43" s="48">
        <f t="shared" si="7"/>
        <v>1.0212765957446808</v>
      </c>
      <c r="I43" s="48" t="e">
        <f t="shared" si="8"/>
        <v>#DIV/0!</v>
      </c>
    </row>
    <row r="44" spans="1:11" x14ac:dyDescent="0.25">
      <c r="A44" s="26" t="s">
        <v>78</v>
      </c>
      <c r="B44" s="6" t="s">
        <v>79</v>
      </c>
      <c r="C44" s="7">
        <v>5867</v>
      </c>
      <c r="E44" s="7">
        <f t="shared" si="5"/>
        <v>5867</v>
      </c>
      <c r="F44" s="7">
        <v>6475</v>
      </c>
      <c r="G44" s="7">
        <f t="shared" si="6"/>
        <v>608</v>
      </c>
      <c r="H44" s="48">
        <f t="shared" si="7"/>
        <v>1.1036304755411623</v>
      </c>
      <c r="I44" s="48" t="e">
        <f t="shared" si="8"/>
        <v>#DIV/0!</v>
      </c>
    </row>
    <row r="45" spans="1:11" x14ac:dyDescent="0.25">
      <c r="A45" s="28" t="s">
        <v>80</v>
      </c>
      <c r="B45" s="6" t="s">
        <v>81</v>
      </c>
      <c r="C45" s="7">
        <v>3370</v>
      </c>
      <c r="E45" s="7">
        <f t="shared" si="5"/>
        <v>3370</v>
      </c>
      <c r="F45" s="7">
        <v>3370</v>
      </c>
      <c r="G45" s="7">
        <f t="shared" si="6"/>
        <v>0</v>
      </c>
      <c r="H45" s="48">
        <f t="shared" si="7"/>
        <v>1</v>
      </c>
      <c r="I45" s="48" t="e">
        <f t="shared" si="8"/>
        <v>#DIV/0!</v>
      </c>
    </row>
    <row r="46" spans="1:11" x14ac:dyDescent="0.25">
      <c r="A46" s="21" t="s">
        <v>82</v>
      </c>
      <c r="B46" s="6" t="s">
        <v>83</v>
      </c>
      <c r="C46" s="7">
        <v>2570</v>
      </c>
      <c r="E46" s="7">
        <f t="shared" si="5"/>
        <v>2570</v>
      </c>
      <c r="F46" s="7">
        <v>2570</v>
      </c>
      <c r="G46" s="7">
        <f t="shared" si="6"/>
        <v>0</v>
      </c>
      <c r="H46" s="48">
        <f t="shared" si="7"/>
        <v>1</v>
      </c>
      <c r="I46" s="48" t="e">
        <f t="shared" si="8"/>
        <v>#DIV/0!</v>
      </c>
    </row>
    <row r="47" spans="1:11" x14ac:dyDescent="0.25">
      <c r="A47" s="21" t="s">
        <v>84</v>
      </c>
      <c r="B47" s="6" t="s">
        <v>85</v>
      </c>
      <c r="C47" s="7">
        <v>525</v>
      </c>
      <c r="E47" s="7">
        <f t="shared" si="5"/>
        <v>525</v>
      </c>
      <c r="F47" s="7">
        <v>525</v>
      </c>
      <c r="G47" s="7">
        <f t="shared" si="6"/>
        <v>0</v>
      </c>
      <c r="H47" s="48">
        <f t="shared" si="7"/>
        <v>1</v>
      </c>
      <c r="I47" s="48" t="e">
        <f t="shared" si="8"/>
        <v>#DIV/0!</v>
      </c>
    </row>
    <row r="48" spans="1:11" x14ac:dyDescent="0.25">
      <c r="A48" s="21" t="s">
        <v>86</v>
      </c>
      <c r="B48" s="6" t="s">
        <v>87</v>
      </c>
      <c r="C48" s="7">
        <v>1779</v>
      </c>
      <c r="E48" s="7">
        <f t="shared" si="5"/>
        <v>1779</v>
      </c>
      <c r="F48" s="7">
        <v>1870</v>
      </c>
      <c r="G48" s="7">
        <f t="shared" si="6"/>
        <v>91</v>
      </c>
      <c r="H48" s="48">
        <f t="shared" si="7"/>
        <v>1.0511523327712198</v>
      </c>
      <c r="I48" s="48" t="e">
        <f t="shared" si="8"/>
        <v>#DIV/0!</v>
      </c>
    </row>
    <row r="49" spans="1:10" x14ac:dyDescent="0.25">
      <c r="A49" s="21" t="s">
        <v>88</v>
      </c>
      <c r="B49" s="6" t="s">
        <v>89</v>
      </c>
      <c r="C49" s="7">
        <v>8000</v>
      </c>
      <c r="E49" s="7">
        <f t="shared" si="5"/>
        <v>8000</v>
      </c>
      <c r="F49" s="7">
        <v>12000</v>
      </c>
      <c r="G49" s="7">
        <f t="shared" si="6"/>
        <v>4000</v>
      </c>
      <c r="H49" s="48">
        <f t="shared" si="7"/>
        <v>1.5</v>
      </c>
      <c r="I49" s="48" t="e">
        <f t="shared" si="8"/>
        <v>#DIV/0!</v>
      </c>
    </row>
    <row r="50" spans="1:10" x14ac:dyDescent="0.25">
      <c r="A50" s="21" t="s">
        <v>90</v>
      </c>
      <c r="B50" s="6" t="s">
        <v>91</v>
      </c>
      <c r="C50" s="7">
        <v>1500</v>
      </c>
      <c r="E50" s="7">
        <f t="shared" si="5"/>
        <v>1500</v>
      </c>
      <c r="F50" s="7">
        <v>1500</v>
      </c>
      <c r="G50" s="7">
        <f t="shared" si="6"/>
        <v>0</v>
      </c>
      <c r="H50" s="58">
        <f t="shared" si="7"/>
        <v>1</v>
      </c>
      <c r="I50" s="58" t="e">
        <f t="shared" si="8"/>
        <v>#DIV/0!</v>
      </c>
    </row>
    <row r="51" spans="1:10" x14ac:dyDescent="0.25">
      <c r="A51" s="21" t="s">
        <v>92</v>
      </c>
      <c r="B51" s="6" t="s">
        <v>93</v>
      </c>
      <c r="C51" s="7">
        <v>6000</v>
      </c>
      <c r="E51" s="7">
        <f t="shared" si="5"/>
        <v>6000</v>
      </c>
      <c r="F51" s="7">
        <v>6000</v>
      </c>
      <c r="G51" s="7">
        <f t="shared" si="6"/>
        <v>0</v>
      </c>
      <c r="H51" s="48">
        <f t="shared" si="7"/>
        <v>1</v>
      </c>
      <c r="I51" s="48" t="e">
        <f t="shared" si="8"/>
        <v>#DIV/0!</v>
      </c>
    </row>
    <row r="52" spans="1:10" x14ac:dyDescent="0.25">
      <c r="A52" s="28" t="s">
        <v>94</v>
      </c>
      <c r="B52" s="6" t="s">
        <v>95</v>
      </c>
      <c r="C52" s="7">
        <v>2500</v>
      </c>
      <c r="E52" s="7">
        <f t="shared" si="5"/>
        <v>2500</v>
      </c>
      <c r="F52" s="7">
        <v>2500</v>
      </c>
      <c r="G52" s="7">
        <f t="shared" si="6"/>
        <v>0</v>
      </c>
      <c r="H52" s="48">
        <f t="shared" si="7"/>
        <v>1</v>
      </c>
      <c r="I52" s="48" t="e">
        <f t="shared" si="8"/>
        <v>#DIV/0!</v>
      </c>
    </row>
    <row r="53" spans="1:10" x14ac:dyDescent="0.25">
      <c r="A53" s="28" t="s">
        <v>96</v>
      </c>
      <c r="B53" s="6" t="s">
        <v>97</v>
      </c>
      <c r="C53" s="7">
        <v>450</v>
      </c>
      <c r="E53" s="7">
        <f t="shared" si="5"/>
        <v>450</v>
      </c>
      <c r="F53" s="7">
        <v>450</v>
      </c>
      <c r="G53" s="7">
        <f t="shared" si="6"/>
        <v>0</v>
      </c>
      <c r="H53" s="48">
        <f t="shared" si="7"/>
        <v>1</v>
      </c>
      <c r="I53" s="48" t="e">
        <f t="shared" si="8"/>
        <v>#DIV/0!</v>
      </c>
    </row>
    <row r="54" spans="1:10" x14ac:dyDescent="0.25">
      <c r="A54" s="21" t="s">
        <v>98</v>
      </c>
      <c r="B54" s="6" t="s">
        <v>99</v>
      </c>
      <c r="C54" s="7">
        <v>200</v>
      </c>
      <c r="E54" s="7">
        <f t="shared" si="5"/>
        <v>200</v>
      </c>
      <c r="F54" s="7">
        <v>200</v>
      </c>
      <c r="G54" s="7">
        <f t="shared" si="6"/>
        <v>0</v>
      </c>
      <c r="H54" s="48">
        <f t="shared" si="7"/>
        <v>1</v>
      </c>
      <c r="I54" s="48" t="e">
        <f t="shared" si="8"/>
        <v>#DIV/0!</v>
      </c>
    </row>
    <row r="55" spans="1:10" x14ac:dyDescent="0.25">
      <c r="A55" s="26" t="s">
        <v>100</v>
      </c>
      <c r="B55" s="6" t="s">
        <v>101</v>
      </c>
      <c r="C55" s="7">
        <v>675</v>
      </c>
      <c r="E55" s="7">
        <f t="shared" si="5"/>
        <v>675</v>
      </c>
      <c r="F55" s="7">
        <v>135</v>
      </c>
      <c r="G55" s="7">
        <f t="shared" si="6"/>
        <v>-540</v>
      </c>
      <c r="H55" s="48">
        <f t="shared" si="7"/>
        <v>0.2</v>
      </c>
      <c r="I55" s="48" t="e">
        <f t="shared" si="8"/>
        <v>#DIV/0!</v>
      </c>
    </row>
    <row r="56" spans="1:10" x14ac:dyDescent="0.25">
      <c r="A56" s="26" t="s">
        <v>102</v>
      </c>
      <c r="B56" s="6" t="s">
        <v>103</v>
      </c>
      <c r="C56" s="7">
        <v>540</v>
      </c>
      <c r="E56" s="7">
        <f t="shared" si="5"/>
        <v>540</v>
      </c>
      <c r="F56" s="7">
        <v>360</v>
      </c>
      <c r="G56" s="7">
        <f t="shared" si="6"/>
        <v>-180</v>
      </c>
      <c r="H56" s="48">
        <f t="shared" si="7"/>
        <v>0.66666666666666663</v>
      </c>
      <c r="I56" s="48" t="e">
        <f t="shared" si="8"/>
        <v>#DIV/0!</v>
      </c>
    </row>
    <row r="57" spans="1:10" x14ac:dyDescent="0.25">
      <c r="A57" s="26" t="s">
        <v>104</v>
      </c>
      <c r="B57" s="6" t="s">
        <v>105</v>
      </c>
      <c r="C57" s="7">
        <v>1081</v>
      </c>
      <c r="E57" s="7">
        <f t="shared" si="5"/>
        <v>1081</v>
      </c>
      <c r="F57" s="7">
        <v>900</v>
      </c>
      <c r="G57" s="7">
        <f t="shared" si="6"/>
        <v>-181</v>
      </c>
      <c r="H57" s="48">
        <f t="shared" si="7"/>
        <v>0.83256244218316378</v>
      </c>
      <c r="I57" s="48" t="e">
        <f t="shared" si="8"/>
        <v>#DIV/0!</v>
      </c>
    </row>
    <row r="58" spans="1:10" x14ac:dyDescent="0.25">
      <c r="A58" s="26" t="s">
        <v>106</v>
      </c>
      <c r="B58" s="6" t="s">
        <v>107</v>
      </c>
      <c r="C58" s="7">
        <v>3500</v>
      </c>
      <c r="E58" s="7">
        <f t="shared" si="5"/>
        <v>3500</v>
      </c>
      <c r="F58" s="7">
        <v>2540</v>
      </c>
      <c r="G58" s="7">
        <f t="shared" si="6"/>
        <v>-960</v>
      </c>
      <c r="H58" s="58">
        <f t="shared" si="7"/>
        <v>0.72571428571428576</v>
      </c>
      <c r="I58" s="58" t="e">
        <f t="shared" si="8"/>
        <v>#DIV/0!</v>
      </c>
      <c r="J58" s="4"/>
    </row>
    <row r="59" spans="1:10" x14ac:dyDescent="0.25">
      <c r="A59" s="28" t="s">
        <v>108</v>
      </c>
      <c r="B59" s="6" t="s">
        <v>109</v>
      </c>
      <c r="C59" s="7">
        <v>4500</v>
      </c>
      <c r="E59" s="7">
        <f t="shared" si="5"/>
        <v>4500</v>
      </c>
      <c r="F59" s="7">
        <v>4000</v>
      </c>
      <c r="G59" s="7">
        <f t="shared" si="6"/>
        <v>-500</v>
      </c>
      <c r="H59" s="48">
        <f t="shared" si="7"/>
        <v>0.88888888888888884</v>
      </c>
      <c r="I59" s="48" t="e">
        <f t="shared" si="8"/>
        <v>#DIV/0!</v>
      </c>
    </row>
    <row r="60" spans="1:10" x14ac:dyDescent="0.25">
      <c r="A60" s="21" t="s">
        <v>110</v>
      </c>
      <c r="B60" s="6" t="s">
        <v>111</v>
      </c>
      <c r="C60" s="7">
        <v>0</v>
      </c>
      <c r="E60" s="7">
        <f t="shared" si="5"/>
        <v>0</v>
      </c>
      <c r="F60" s="7"/>
      <c r="G60" s="7">
        <f t="shared" si="6"/>
        <v>0</v>
      </c>
      <c r="H60" s="58" t="e">
        <f t="shared" si="7"/>
        <v>#DIV/0!</v>
      </c>
      <c r="I60" s="58" t="e">
        <f t="shared" si="8"/>
        <v>#DIV/0!</v>
      </c>
      <c r="J60" s="4"/>
    </row>
    <row r="61" spans="1:10" x14ac:dyDescent="0.25">
      <c r="A61" s="21" t="s">
        <v>112</v>
      </c>
      <c r="B61" s="6" t="s">
        <v>113</v>
      </c>
      <c r="C61" s="7">
        <v>0</v>
      </c>
      <c r="E61" s="7">
        <f t="shared" si="5"/>
        <v>0</v>
      </c>
      <c r="F61" s="43"/>
      <c r="G61" s="7">
        <f t="shared" si="6"/>
        <v>0</v>
      </c>
      <c r="H61" s="58" t="e">
        <f t="shared" si="7"/>
        <v>#DIV/0!</v>
      </c>
      <c r="I61" s="58" t="e">
        <f t="shared" si="8"/>
        <v>#DIV/0!</v>
      </c>
      <c r="J61" s="4"/>
    </row>
    <row r="62" spans="1:10" x14ac:dyDescent="0.25">
      <c r="A62" s="21" t="s">
        <v>114</v>
      </c>
      <c r="B62" s="6" t="s">
        <v>115</v>
      </c>
      <c r="C62" s="7">
        <v>0</v>
      </c>
      <c r="E62" s="7">
        <f t="shared" si="5"/>
        <v>0</v>
      </c>
      <c r="F62" s="43"/>
      <c r="G62" s="7">
        <f t="shared" si="6"/>
        <v>0</v>
      </c>
      <c r="H62" s="58" t="e">
        <f t="shared" si="7"/>
        <v>#DIV/0!</v>
      </c>
      <c r="I62" s="58" t="e">
        <f t="shared" si="8"/>
        <v>#DIV/0!</v>
      </c>
      <c r="J62" s="4"/>
    </row>
    <row r="63" spans="1:10" x14ac:dyDescent="0.25">
      <c r="A63" s="21" t="s">
        <v>116</v>
      </c>
      <c r="B63" s="6" t="s">
        <v>117</v>
      </c>
      <c r="C63" s="7">
        <v>520</v>
      </c>
      <c r="E63" s="7">
        <f t="shared" si="5"/>
        <v>520</v>
      </c>
      <c r="F63" s="7">
        <v>520</v>
      </c>
      <c r="G63" s="7">
        <f t="shared" si="6"/>
        <v>0</v>
      </c>
      <c r="H63" s="48">
        <f t="shared" si="7"/>
        <v>1</v>
      </c>
      <c r="I63" s="48" t="e">
        <f t="shared" si="8"/>
        <v>#DIV/0!</v>
      </c>
      <c r="J63" s="4"/>
    </row>
    <row r="64" spans="1:10" x14ac:dyDescent="0.25">
      <c r="A64" s="21"/>
      <c r="B64" s="6"/>
      <c r="C64" s="7"/>
      <c r="E64" s="7"/>
      <c r="F64" s="7"/>
      <c r="G64" s="7"/>
      <c r="H64" s="48"/>
      <c r="I64" s="48"/>
      <c r="J64" s="4"/>
    </row>
    <row r="65" spans="1:10" x14ac:dyDescent="0.25">
      <c r="A65" s="81" t="s">
        <v>118</v>
      </c>
      <c r="B65" s="78"/>
      <c r="C65" s="79">
        <f>SUM(C31:C63)</f>
        <v>530456</v>
      </c>
      <c r="D65" s="79">
        <f>SUM(D31:D63)</f>
        <v>0</v>
      </c>
      <c r="E65" s="79">
        <f>SUM(E31:E63)</f>
        <v>530456</v>
      </c>
      <c r="F65" s="79">
        <f>SUM(F31:F63)</f>
        <v>490270</v>
      </c>
      <c r="G65" s="79">
        <f>SUM(G31:G63)</f>
        <v>-40186</v>
      </c>
      <c r="H65" s="80">
        <f t="shared" si="7"/>
        <v>0.92424253849518145</v>
      </c>
      <c r="I65" s="80" t="e">
        <f t="shared" si="8"/>
        <v>#DIV/0!</v>
      </c>
      <c r="J65" s="4"/>
    </row>
    <row r="66" spans="1:10" hidden="1" x14ac:dyDescent="0.25">
      <c r="A66" s="29"/>
      <c r="B66" s="6"/>
      <c r="C66" s="7"/>
      <c r="E66" s="7"/>
      <c r="F66" s="7"/>
      <c r="G66" s="7"/>
      <c r="H66" s="48"/>
      <c r="I66" s="48"/>
    </row>
    <row r="67" spans="1:10" hidden="1" x14ac:dyDescent="0.25">
      <c r="A67" s="35" t="s">
        <v>119</v>
      </c>
      <c r="B67" s="32"/>
      <c r="C67" s="33"/>
      <c r="D67" s="33"/>
      <c r="E67" s="33">
        <f t="shared" ref="E67:E78" si="9">C67-D67</f>
        <v>0</v>
      </c>
      <c r="F67" s="33"/>
      <c r="G67" s="33"/>
      <c r="H67" s="49"/>
      <c r="I67" s="49"/>
    </row>
    <row r="68" spans="1:10" hidden="1" x14ac:dyDescent="0.25">
      <c r="A68" s="21" t="s">
        <v>120</v>
      </c>
      <c r="B68" s="6" t="s">
        <v>53</v>
      </c>
      <c r="C68" s="7">
        <v>0</v>
      </c>
      <c r="E68" s="7">
        <f t="shared" si="9"/>
        <v>0</v>
      </c>
      <c r="F68" s="7">
        <v>0</v>
      </c>
      <c r="G68" s="7">
        <f t="shared" ref="G68:G83" si="10">F68-C68</f>
        <v>0</v>
      </c>
      <c r="H68" s="58" t="e">
        <f>F68/C68</f>
        <v>#DIV/0!</v>
      </c>
      <c r="I68" s="58" t="e">
        <f>F68/D68</f>
        <v>#DIV/0!</v>
      </c>
    </row>
    <row r="69" spans="1:10" hidden="1" x14ac:dyDescent="0.25">
      <c r="A69" s="21" t="s">
        <v>121</v>
      </c>
      <c r="B69" s="6" t="s">
        <v>122</v>
      </c>
      <c r="C69" s="7">
        <v>0</v>
      </c>
      <c r="E69" s="7">
        <f t="shared" si="9"/>
        <v>0</v>
      </c>
      <c r="F69" s="7">
        <v>0</v>
      </c>
      <c r="G69" s="7">
        <f t="shared" si="10"/>
        <v>0</v>
      </c>
      <c r="H69" s="58" t="e">
        <f>F69/C69</f>
        <v>#DIV/0!</v>
      </c>
      <c r="I69" s="58" t="e">
        <f>F69/D69</f>
        <v>#DIV/0!</v>
      </c>
    </row>
    <row r="70" spans="1:10" hidden="1" x14ac:dyDescent="0.25">
      <c r="A70" s="21" t="s">
        <v>123</v>
      </c>
      <c r="B70" s="6" t="s">
        <v>59</v>
      </c>
      <c r="C70" s="7">
        <v>0</v>
      </c>
      <c r="E70" s="7">
        <f t="shared" si="9"/>
        <v>0</v>
      </c>
      <c r="F70" s="7">
        <v>0</v>
      </c>
      <c r="G70" s="7">
        <f t="shared" si="10"/>
        <v>0</v>
      </c>
      <c r="H70" s="58" t="e">
        <f t="shared" ref="H70:H83" si="11">F70/C70</f>
        <v>#DIV/0!</v>
      </c>
      <c r="I70" s="58" t="e">
        <f t="shared" ref="I70:I83" si="12">F70/D70</f>
        <v>#DIV/0!</v>
      </c>
    </row>
    <row r="71" spans="1:10" hidden="1" x14ac:dyDescent="0.25">
      <c r="A71" s="21" t="s">
        <v>124</v>
      </c>
      <c r="B71" s="6" t="s">
        <v>61</v>
      </c>
      <c r="C71" s="7">
        <v>0</v>
      </c>
      <c r="E71" s="7">
        <f t="shared" si="9"/>
        <v>0</v>
      </c>
      <c r="F71" s="7">
        <v>0</v>
      </c>
      <c r="G71" s="7">
        <f t="shared" si="10"/>
        <v>0</v>
      </c>
      <c r="H71" s="58" t="e">
        <f t="shared" si="11"/>
        <v>#DIV/0!</v>
      </c>
      <c r="I71" s="58" t="e">
        <f t="shared" si="12"/>
        <v>#DIV/0!</v>
      </c>
    </row>
    <row r="72" spans="1:10" hidden="1" x14ac:dyDescent="0.25">
      <c r="A72" s="21" t="s">
        <v>125</v>
      </c>
      <c r="B72" s="6" t="s">
        <v>63</v>
      </c>
      <c r="C72" s="7">
        <v>0</v>
      </c>
      <c r="E72" s="7">
        <f t="shared" si="9"/>
        <v>0</v>
      </c>
      <c r="F72" s="7">
        <v>0</v>
      </c>
      <c r="G72" s="7">
        <f t="shared" si="10"/>
        <v>0</v>
      </c>
      <c r="H72" s="58" t="e">
        <f t="shared" si="11"/>
        <v>#DIV/0!</v>
      </c>
      <c r="I72" s="58" t="e">
        <f t="shared" si="12"/>
        <v>#DIV/0!</v>
      </c>
    </row>
    <row r="73" spans="1:10" hidden="1" x14ac:dyDescent="0.25">
      <c r="A73" s="21" t="s">
        <v>126</v>
      </c>
      <c r="B73" s="6" t="s">
        <v>65</v>
      </c>
      <c r="C73" s="7">
        <v>0</v>
      </c>
      <c r="E73" s="7">
        <f t="shared" si="9"/>
        <v>0</v>
      </c>
      <c r="F73" s="7">
        <v>0</v>
      </c>
      <c r="G73" s="7">
        <f t="shared" si="10"/>
        <v>0</v>
      </c>
      <c r="H73" s="58" t="e">
        <f t="shared" si="11"/>
        <v>#DIV/0!</v>
      </c>
      <c r="I73" s="58" t="e">
        <f t="shared" si="12"/>
        <v>#DIV/0!</v>
      </c>
    </row>
    <row r="74" spans="1:10" hidden="1" x14ac:dyDescent="0.25">
      <c r="A74" s="26" t="s">
        <v>127</v>
      </c>
      <c r="B74" s="6" t="s">
        <v>79</v>
      </c>
      <c r="C74" s="7">
        <v>0</v>
      </c>
      <c r="E74" s="7">
        <f t="shared" si="9"/>
        <v>0</v>
      </c>
      <c r="F74" s="7">
        <v>0</v>
      </c>
      <c r="G74" s="7">
        <f t="shared" si="10"/>
        <v>0</v>
      </c>
      <c r="H74" s="58" t="e">
        <f t="shared" si="11"/>
        <v>#DIV/0!</v>
      </c>
      <c r="I74" s="58" t="e">
        <f t="shared" si="12"/>
        <v>#DIV/0!</v>
      </c>
    </row>
    <row r="75" spans="1:10" hidden="1" x14ac:dyDescent="0.25">
      <c r="A75" s="21" t="s">
        <v>128</v>
      </c>
      <c r="B75" s="6" t="s">
        <v>83</v>
      </c>
      <c r="C75" s="7">
        <v>0</v>
      </c>
      <c r="E75" s="7">
        <f t="shared" si="9"/>
        <v>0</v>
      </c>
      <c r="F75" s="7">
        <v>0</v>
      </c>
      <c r="G75" s="7">
        <f t="shared" si="10"/>
        <v>0</v>
      </c>
      <c r="H75" s="58" t="e">
        <f t="shared" si="11"/>
        <v>#DIV/0!</v>
      </c>
      <c r="I75" s="58" t="e">
        <f t="shared" si="12"/>
        <v>#DIV/0!</v>
      </c>
    </row>
    <row r="76" spans="1:10" hidden="1" x14ac:dyDescent="0.25">
      <c r="A76" s="21" t="s">
        <v>129</v>
      </c>
      <c r="B76" s="6" t="s">
        <v>87</v>
      </c>
      <c r="C76" s="7">
        <v>0</v>
      </c>
      <c r="E76" s="7">
        <f t="shared" si="9"/>
        <v>0</v>
      </c>
      <c r="F76" s="7">
        <v>0</v>
      </c>
      <c r="G76" s="7">
        <f t="shared" si="10"/>
        <v>0</v>
      </c>
      <c r="H76" s="58" t="e">
        <f t="shared" si="11"/>
        <v>#DIV/0!</v>
      </c>
      <c r="I76" s="58" t="e">
        <f t="shared" si="12"/>
        <v>#DIV/0!</v>
      </c>
    </row>
    <row r="77" spans="1:10" hidden="1" x14ac:dyDescent="0.25">
      <c r="A77" s="21" t="s">
        <v>130</v>
      </c>
      <c r="B77" s="6" t="s">
        <v>131</v>
      </c>
      <c r="C77" s="7">
        <v>0</v>
      </c>
      <c r="E77" s="7">
        <f t="shared" si="9"/>
        <v>0</v>
      </c>
      <c r="F77" s="7">
        <v>0</v>
      </c>
      <c r="G77" s="7">
        <f t="shared" si="10"/>
        <v>0</v>
      </c>
      <c r="H77" s="58" t="e">
        <f t="shared" si="11"/>
        <v>#DIV/0!</v>
      </c>
      <c r="I77" s="58" t="e">
        <f t="shared" si="12"/>
        <v>#DIV/0!</v>
      </c>
    </row>
    <row r="78" spans="1:10" hidden="1" x14ac:dyDescent="0.25">
      <c r="A78" s="28" t="s">
        <v>132</v>
      </c>
      <c r="B78" s="6" t="s">
        <v>95</v>
      </c>
      <c r="C78" s="7">
        <v>0</v>
      </c>
      <c r="E78" s="7">
        <f t="shared" si="9"/>
        <v>0</v>
      </c>
      <c r="F78" s="7">
        <v>0</v>
      </c>
      <c r="G78" s="7">
        <f t="shared" si="10"/>
        <v>0</v>
      </c>
      <c r="H78" s="58" t="e">
        <f t="shared" si="11"/>
        <v>#DIV/0!</v>
      </c>
      <c r="I78" s="58" t="e">
        <f t="shared" si="12"/>
        <v>#DIV/0!</v>
      </c>
    </row>
    <row r="79" spans="1:10" hidden="1" x14ac:dyDescent="0.25">
      <c r="A79" s="26" t="s">
        <v>133</v>
      </c>
      <c r="B79" s="6" t="s">
        <v>103</v>
      </c>
      <c r="C79" s="7">
        <v>0</v>
      </c>
      <c r="E79" s="7">
        <f t="shared" ref="E79:E108" si="13">C79-D79</f>
        <v>0</v>
      </c>
      <c r="F79" s="7">
        <v>0</v>
      </c>
      <c r="G79" s="7">
        <f t="shared" si="10"/>
        <v>0</v>
      </c>
      <c r="H79" s="58" t="e">
        <f t="shared" si="11"/>
        <v>#DIV/0!</v>
      </c>
      <c r="I79" s="58" t="e">
        <f t="shared" si="12"/>
        <v>#DIV/0!</v>
      </c>
    </row>
    <row r="80" spans="1:10" hidden="1" x14ac:dyDescent="0.25">
      <c r="A80" s="26" t="s">
        <v>134</v>
      </c>
      <c r="B80" s="6" t="s">
        <v>135</v>
      </c>
      <c r="C80" s="7">
        <v>0</v>
      </c>
      <c r="E80" s="7">
        <f t="shared" si="13"/>
        <v>0</v>
      </c>
      <c r="F80" s="7">
        <v>0</v>
      </c>
      <c r="G80" s="7">
        <f t="shared" si="10"/>
        <v>0</v>
      </c>
      <c r="H80" s="58" t="e">
        <f t="shared" si="11"/>
        <v>#DIV/0!</v>
      </c>
      <c r="I80" s="58" t="e">
        <f t="shared" si="12"/>
        <v>#DIV/0!</v>
      </c>
    </row>
    <row r="81" spans="1:9" hidden="1" x14ac:dyDescent="0.25">
      <c r="A81" s="26" t="s">
        <v>136</v>
      </c>
      <c r="B81" s="6" t="s">
        <v>107</v>
      </c>
      <c r="C81" s="7">
        <v>0</v>
      </c>
      <c r="E81" s="7">
        <f t="shared" si="13"/>
        <v>0</v>
      </c>
      <c r="F81" s="7">
        <v>0</v>
      </c>
      <c r="G81" s="7">
        <f t="shared" si="10"/>
        <v>0</v>
      </c>
      <c r="H81" s="58" t="e">
        <f t="shared" si="11"/>
        <v>#DIV/0!</v>
      </c>
      <c r="I81" s="58" t="e">
        <f t="shared" si="12"/>
        <v>#DIV/0!</v>
      </c>
    </row>
    <row r="82" spans="1:9" hidden="1" x14ac:dyDescent="0.25">
      <c r="A82" s="28" t="s">
        <v>137</v>
      </c>
      <c r="B82" s="6" t="s">
        <v>109</v>
      </c>
      <c r="C82" s="7">
        <v>0</v>
      </c>
      <c r="E82" s="7">
        <f t="shared" si="13"/>
        <v>0</v>
      </c>
      <c r="F82" s="7">
        <v>0</v>
      </c>
      <c r="G82" s="7">
        <f t="shared" si="10"/>
        <v>0</v>
      </c>
      <c r="H82" s="58" t="e">
        <f t="shared" si="11"/>
        <v>#DIV/0!</v>
      </c>
      <c r="I82" s="58" t="e">
        <f t="shared" si="12"/>
        <v>#DIV/0!</v>
      </c>
    </row>
    <row r="83" spans="1:9" hidden="1" x14ac:dyDescent="0.25">
      <c r="A83" s="21" t="s">
        <v>138</v>
      </c>
      <c r="B83" s="6" t="s">
        <v>117</v>
      </c>
      <c r="C83" s="7">
        <v>0</v>
      </c>
      <c r="E83" s="7">
        <f t="shared" si="13"/>
        <v>0</v>
      </c>
      <c r="F83" s="7">
        <v>0</v>
      </c>
      <c r="G83" s="7">
        <f t="shared" si="10"/>
        <v>0</v>
      </c>
      <c r="H83" s="58" t="e">
        <f t="shared" si="11"/>
        <v>#DIV/0!</v>
      </c>
      <c r="I83" s="58" t="e">
        <f t="shared" si="12"/>
        <v>#DIV/0!</v>
      </c>
    </row>
    <row r="84" spans="1:9" hidden="1" x14ac:dyDescent="0.25">
      <c r="A84" s="21"/>
      <c r="B84" s="6"/>
      <c r="C84" s="7"/>
      <c r="E84" s="7"/>
      <c r="F84" s="7"/>
      <c r="G84" s="7"/>
      <c r="H84" s="58"/>
      <c r="I84" s="58"/>
    </row>
    <row r="85" spans="1:9" hidden="1" x14ac:dyDescent="0.25">
      <c r="A85" s="36" t="s">
        <v>139</v>
      </c>
      <c r="B85" s="32"/>
      <c r="C85" s="33">
        <f>SUM(C68:C83)</f>
        <v>0</v>
      </c>
      <c r="D85" s="33">
        <f>SUM(D68:D83)</f>
        <v>0</v>
      </c>
      <c r="E85" s="33">
        <f>SUM(E68:E83)</f>
        <v>0</v>
      </c>
      <c r="F85" s="33">
        <f>SUM(F68:F83)</f>
        <v>0</v>
      </c>
      <c r="G85" s="33">
        <f>SUM(G68:G83)</f>
        <v>0</v>
      </c>
      <c r="H85" s="49" t="e">
        <f>F85/C85</f>
        <v>#DIV/0!</v>
      </c>
      <c r="I85" s="49" t="e">
        <f>F85/D85</f>
        <v>#DIV/0!</v>
      </c>
    </row>
    <row r="86" spans="1:9" hidden="1" x14ac:dyDescent="0.25">
      <c r="A86" s="39"/>
      <c r="B86" s="37"/>
      <c r="C86" s="38"/>
      <c r="D86" s="38"/>
      <c r="E86" s="38"/>
      <c r="F86" s="38"/>
      <c r="G86" s="38"/>
      <c r="H86" s="48"/>
      <c r="I86" s="48"/>
    </row>
    <row r="87" spans="1:9" hidden="1" x14ac:dyDescent="0.25">
      <c r="A87" s="52" t="s">
        <v>140</v>
      </c>
      <c r="B87" s="52"/>
      <c r="C87" s="53"/>
      <c r="D87" s="53"/>
      <c r="E87" s="53"/>
      <c r="F87" s="53"/>
      <c r="G87" s="53"/>
      <c r="H87" s="54"/>
      <c r="I87" s="54"/>
    </row>
    <row r="88" spans="1:9" hidden="1" x14ac:dyDescent="0.25">
      <c r="A88" s="28" t="s">
        <v>141</v>
      </c>
      <c r="B88" s="6" t="s">
        <v>53</v>
      </c>
      <c r="C88" s="7">
        <v>0</v>
      </c>
      <c r="E88" s="7">
        <f t="shared" si="13"/>
        <v>0</v>
      </c>
      <c r="F88" s="7">
        <v>0</v>
      </c>
      <c r="G88" s="7">
        <f t="shared" ref="G88:G108" si="14">F88-C88</f>
        <v>0</v>
      </c>
      <c r="H88" s="58" t="e">
        <f t="shared" ref="H88:H95" si="15">F88/C88</f>
        <v>#DIV/0!</v>
      </c>
      <c r="I88" s="58" t="e">
        <f t="shared" ref="I88:I95" si="16">F88/D88</f>
        <v>#DIV/0!</v>
      </c>
    </row>
    <row r="89" spans="1:9" hidden="1" x14ac:dyDescent="0.25">
      <c r="A89" s="21" t="s">
        <v>142</v>
      </c>
      <c r="B89" s="6" t="s">
        <v>55</v>
      </c>
      <c r="C89" s="7">
        <v>0</v>
      </c>
      <c r="E89" s="7">
        <f t="shared" si="13"/>
        <v>0</v>
      </c>
      <c r="F89" s="7">
        <v>0</v>
      </c>
      <c r="G89" s="7">
        <f t="shared" si="14"/>
        <v>0</v>
      </c>
      <c r="H89" s="58" t="e">
        <f t="shared" si="15"/>
        <v>#DIV/0!</v>
      </c>
      <c r="I89" s="58" t="e">
        <f t="shared" si="16"/>
        <v>#DIV/0!</v>
      </c>
    </row>
    <row r="90" spans="1:9" hidden="1" x14ac:dyDescent="0.25">
      <c r="A90" s="28" t="s">
        <v>143</v>
      </c>
      <c r="B90" s="6" t="s">
        <v>57</v>
      </c>
      <c r="C90" s="7">
        <v>0</v>
      </c>
      <c r="E90" s="7">
        <f t="shared" si="13"/>
        <v>0</v>
      </c>
      <c r="F90" s="7">
        <v>0</v>
      </c>
      <c r="G90" s="7">
        <f t="shared" si="14"/>
        <v>0</v>
      </c>
      <c r="H90" s="58" t="e">
        <f t="shared" si="15"/>
        <v>#DIV/0!</v>
      </c>
      <c r="I90" s="58" t="e">
        <f t="shared" si="16"/>
        <v>#DIV/0!</v>
      </c>
    </row>
    <row r="91" spans="1:9" hidden="1" x14ac:dyDescent="0.25">
      <c r="A91" s="28" t="s">
        <v>144</v>
      </c>
      <c r="B91" s="6" t="s">
        <v>59</v>
      </c>
      <c r="C91" s="7">
        <v>0</v>
      </c>
      <c r="E91" s="7">
        <f t="shared" si="13"/>
        <v>0</v>
      </c>
      <c r="F91" s="7">
        <v>0</v>
      </c>
      <c r="G91" s="7">
        <f t="shared" si="14"/>
        <v>0</v>
      </c>
      <c r="H91" s="58" t="e">
        <f t="shared" si="15"/>
        <v>#DIV/0!</v>
      </c>
      <c r="I91" s="58" t="e">
        <f t="shared" si="16"/>
        <v>#DIV/0!</v>
      </c>
    </row>
    <row r="92" spans="1:9" hidden="1" x14ac:dyDescent="0.25">
      <c r="A92" s="28" t="s">
        <v>145</v>
      </c>
      <c r="B92" s="6" t="s">
        <v>61</v>
      </c>
      <c r="C92" s="7">
        <v>0</v>
      </c>
      <c r="E92" s="7">
        <f t="shared" si="13"/>
        <v>0</v>
      </c>
      <c r="F92" s="7">
        <v>0</v>
      </c>
      <c r="G92" s="7">
        <f t="shared" si="14"/>
        <v>0</v>
      </c>
      <c r="H92" s="58" t="e">
        <f t="shared" si="15"/>
        <v>#DIV/0!</v>
      </c>
      <c r="I92" s="58" t="e">
        <f t="shared" si="16"/>
        <v>#DIV/0!</v>
      </c>
    </row>
    <row r="93" spans="1:9" hidden="1" x14ac:dyDescent="0.25">
      <c r="A93" s="28" t="s">
        <v>146</v>
      </c>
      <c r="B93" s="6" t="s">
        <v>63</v>
      </c>
      <c r="C93" s="7">
        <v>0</v>
      </c>
      <c r="E93" s="7">
        <f t="shared" si="13"/>
        <v>0</v>
      </c>
      <c r="F93" s="7">
        <v>0</v>
      </c>
      <c r="G93" s="7">
        <f t="shared" si="14"/>
        <v>0</v>
      </c>
      <c r="H93" s="58" t="e">
        <f t="shared" si="15"/>
        <v>#DIV/0!</v>
      </c>
      <c r="I93" s="58" t="e">
        <f t="shared" si="16"/>
        <v>#DIV/0!</v>
      </c>
    </row>
    <row r="94" spans="1:9" hidden="1" x14ac:dyDescent="0.25">
      <c r="A94" s="28" t="s">
        <v>147</v>
      </c>
      <c r="B94" s="6" t="s">
        <v>65</v>
      </c>
      <c r="C94" s="7">
        <v>0</v>
      </c>
      <c r="E94" s="7">
        <f t="shared" si="13"/>
        <v>0</v>
      </c>
      <c r="F94" s="7">
        <v>0</v>
      </c>
      <c r="G94" s="7">
        <f t="shared" si="14"/>
        <v>0</v>
      </c>
      <c r="H94" s="58" t="e">
        <f t="shared" si="15"/>
        <v>#DIV/0!</v>
      </c>
      <c r="I94" s="58" t="e">
        <f t="shared" si="16"/>
        <v>#DIV/0!</v>
      </c>
    </row>
    <row r="95" spans="1:9" hidden="1" x14ac:dyDescent="0.25">
      <c r="A95" s="26" t="s">
        <v>148</v>
      </c>
      <c r="B95" s="6" t="s">
        <v>69</v>
      </c>
      <c r="C95" s="7">
        <v>0</v>
      </c>
      <c r="E95" s="7">
        <f t="shared" si="13"/>
        <v>0</v>
      </c>
      <c r="F95" s="7">
        <v>0</v>
      </c>
      <c r="G95" s="7">
        <f t="shared" si="14"/>
        <v>0</v>
      </c>
      <c r="H95" s="58" t="e">
        <f t="shared" si="15"/>
        <v>#DIV/0!</v>
      </c>
      <c r="I95" s="58" t="e">
        <f t="shared" si="16"/>
        <v>#DIV/0!</v>
      </c>
    </row>
    <row r="96" spans="1:9" hidden="1" x14ac:dyDescent="0.25">
      <c r="A96" s="21" t="s">
        <v>149</v>
      </c>
      <c r="B96" s="6" t="s">
        <v>83</v>
      </c>
      <c r="C96" s="7">
        <v>0</v>
      </c>
      <c r="E96" s="7">
        <f t="shared" si="13"/>
        <v>0</v>
      </c>
      <c r="F96" s="7">
        <v>0</v>
      </c>
      <c r="G96" s="7">
        <f t="shared" si="14"/>
        <v>0</v>
      </c>
      <c r="H96" s="58" t="e">
        <f t="shared" ref="H96:H102" si="17">F96/C96</f>
        <v>#DIV/0!</v>
      </c>
      <c r="I96" s="58" t="e">
        <f t="shared" ref="I96:I102" si="18">F96/D96</f>
        <v>#DIV/0!</v>
      </c>
    </row>
    <row r="97" spans="1:12" hidden="1" x14ac:dyDescent="0.25">
      <c r="A97" s="21" t="s">
        <v>150</v>
      </c>
      <c r="B97" s="6" t="s">
        <v>85</v>
      </c>
      <c r="C97" s="7">
        <v>0</v>
      </c>
      <c r="E97" s="7">
        <f t="shared" si="13"/>
        <v>0</v>
      </c>
      <c r="F97" s="7">
        <v>0</v>
      </c>
      <c r="G97" s="7">
        <f t="shared" si="14"/>
        <v>0</v>
      </c>
      <c r="H97" s="58" t="e">
        <f t="shared" si="17"/>
        <v>#DIV/0!</v>
      </c>
      <c r="I97" s="58" t="e">
        <f t="shared" si="18"/>
        <v>#DIV/0!</v>
      </c>
    </row>
    <row r="98" spans="1:12" hidden="1" x14ac:dyDescent="0.25">
      <c r="A98" s="21" t="s">
        <v>151</v>
      </c>
      <c r="B98" s="6" t="s">
        <v>87</v>
      </c>
      <c r="C98" s="7">
        <v>0</v>
      </c>
      <c r="E98" s="7">
        <f t="shared" si="13"/>
        <v>0</v>
      </c>
      <c r="F98" s="7">
        <v>0</v>
      </c>
      <c r="G98" s="7">
        <f t="shared" si="14"/>
        <v>0</v>
      </c>
      <c r="H98" s="58" t="e">
        <f t="shared" si="17"/>
        <v>#DIV/0!</v>
      </c>
      <c r="I98" s="58" t="e">
        <f t="shared" si="18"/>
        <v>#DIV/0!</v>
      </c>
    </row>
    <row r="99" spans="1:12" hidden="1" x14ac:dyDescent="0.25">
      <c r="A99" s="21" t="s">
        <v>152</v>
      </c>
      <c r="B99" s="6" t="s">
        <v>131</v>
      </c>
      <c r="C99" s="7">
        <v>0</v>
      </c>
      <c r="E99" s="7">
        <f t="shared" si="13"/>
        <v>0</v>
      </c>
      <c r="F99" s="7">
        <v>0</v>
      </c>
      <c r="G99" s="7">
        <f t="shared" si="14"/>
        <v>0</v>
      </c>
      <c r="H99" s="58" t="e">
        <f t="shared" si="17"/>
        <v>#DIV/0!</v>
      </c>
      <c r="I99" s="58" t="e">
        <f t="shared" si="18"/>
        <v>#DIV/0!</v>
      </c>
    </row>
    <row r="100" spans="1:12" hidden="1" x14ac:dyDescent="0.25">
      <c r="A100" s="21" t="s">
        <v>153</v>
      </c>
      <c r="B100" s="6" t="s">
        <v>91</v>
      </c>
      <c r="C100" s="7">
        <v>0</v>
      </c>
      <c r="E100" s="7">
        <f t="shared" si="13"/>
        <v>0</v>
      </c>
      <c r="F100" s="7">
        <v>0</v>
      </c>
      <c r="G100" s="7">
        <f t="shared" si="14"/>
        <v>0</v>
      </c>
      <c r="H100" s="58" t="e">
        <f t="shared" si="17"/>
        <v>#DIV/0!</v>
      </c>
      <c r="I100" s="58" t="e">
        <f t="shared" si="18"/>
        <v>#DIV/0!</v>
      </c>
    </row>
    <row r="101" spans="1:12" hidden="1" x14ac:dyDescent="0.25">
      <c r="A101" s="28" t="s">
        <v>154</v>
      </c>
      <c r="B101" s="6" t="s">
        <v>95</v>
      </c>
      <c r="C101" s="7">
        <v>0</v>
      </c>
      <c r="E101" s="7">
        <f t="shared" si="13"/>
        <v>0</v>
      </c>
      <c r="F101" s="7">
        <v>0</v>
      </c>
      <c r="G101" s="7">
        <f t="shared" si="14"/>
        <v>0</v>
      </c>
      <c r="H101" s="58" t="e">
        <f t="shared" si="17"/>
        <v>#DIV/0!</v>
      </c>
      <c r="I101" s="58" t="e">
        <f t="shared" si="18"/>
        <v>#DIV/0!</v>
      </c>
    </row>
    <row r="102" spans="1:12" hidden="1" x14ac:dyDescent="0.25">
      <c r="A102" s="28" t="s">
        <v>155</v>
      </c>
      <c r="B102" s="6" t="s">
        <v>97</v>
      </c>
      <c r="C102" s="7">
        <v>0</v>
      </c>
      <c r="E102" s="7">
        <f t="shared" si="13"/>
        <v>0</v>
      </c>
      <c r="F102" s="7">
        <v>0</v>
      </c>
      <c r="G102" s="7">
        <f t="shared" si="14"/>
        <v>0</v>
      </c>
      <c r="H102" s="58" t="e">
        <f t="shared" si="17"/>
        <v>#DIV/0!</v>
      </c>
      <c r="I102" s="58" t="e">
        <f t="shared" si="18"/>
        <v>#DIV/0!</v>
      </c>
    </row>
    <row r="103" spans="1:12" hidden="1" x14ac:dyDescent="0.25">
      <c r="A103" s="26" t="s">
        <v>156</v>
      </c>
      <c r="B103" s="6" t="s">
        <v>103</v>
      </c>
      <c r="C103" s="7">
        <v>0</v>
      </c>
      <c r="E103" s="7">
        <f t="shared" si="13"/>
        <v>0</v>
      </c>
      <c r="F103" s="7">
        <v>0</v>
      </c>
      <c r="G103" s="7">
        <f t="shared" si="14"/>
        <v>0</v>
      </c>
      <c r="H103" s="58" t="e">
        <f t="shared" ref="H103:H118" si="19">F103/C103</f>
        <v>#DIV/0!</v>
      </c>
      <c r="I103" s="58" t="e">
        <f t="shared" ref="I103:I120" si="20">F103/D103</f>
        <v>#DIV/0!</v>
      </c>
    </row>
    <row r="104" spans="1:12" hidden="1" x14ac:dyDescent="0.25">
      <c r="A104" s="26" t="s">
        <v>157</v>
      </c>
      <c r="B104" s="6" t="s">
        <v>135</v>
      </c>
      <c r="C104" s="7">
        <v>0</v>
      </c>
      <c r="E104" s="7">
        <f t="shared" si="13"/>
        <v>0</v>
      </c>
      <c r="F104" s="7">
        <v>0</v>
      </c>
      <c r="G104" s="7">
        <f t="shared" si="14"/>
        <v>0</v>
      </c>
      <c r="H104" s="58" t="e">
        <f t="shared" si="19"/>
        <v>#DIV/0!</v>
      </c>
      <c r="I104" s="58" t="e">
        <f t="shared" si="20"/>
        <v>#DIV/0!</v>
      </c>
    </row>
    <row r="105" spans="1:12" hidden="1" x14ac:dyDescent="0.25">
      <c r="A105" s="26" t="s">
        <v>158</v>
      </c>
      <c r="B105" s="6" t="s">
        <v>107</v>
      </c>
      <c r="C105" s="7">
        <v>0</v>
      </c>
      <c r="E105" s="7">
        <f t="shared" si="13"/>
        <v>0</v>
      </c>
      <c r="F105" s="7">
        <v>0</v>
      </c>
      <c r="G105" s="7">
        <f t="shared" si="14"/>
        <v>0</v>
      </c>
      <c r="H105" s="58" t="e">
        <f t="shared" si="19"/>
        <v>#DIV/0!</v>
      </c>
      <c r="I105" s="58" t="e">
        <f t="shared" si="20"/>
        <v>#DIV/0!</v>
      </c>
    </row>
    <row r="106" spans="1:12" hidden="1" x14ac:dyDescent="0.25">
      <c r="A106" s="28" t="s">
        <v>159</v>
      </c>
      <c r="B106" s="6" t="s">
        <v>109</v>
      </c>
      <c r="C106" s="7">
        <v>0</v>
      </c>
      <c r="E106" s="7">
        <f t="shared" si="13"/>
        <v>0</v>
      </c>
      <c r="F106" s="7">
        <v>0</v>
      </c>
      <c r="G106" s="7">
        <f t="shared" si="14"/>
        <v>0</v>
      </c>
      <c r="H106" s="58" t="e">
        <f t="shared" si="19"/>
        <v>#DIV/0!</v>
      </c>
      <c r="I106" s="58" t="e">
        <f t="shared" si="20"/>
        <v>#DIV/0!</v>
      </c>
    </row>
    <row r="107" spans="1:12" hidden="1" x14ac:dyDescent="0.25">
      <c r="A107" s="21" t="s">
        <v>160</v>
      </c>
      <c r="B107" s="6" t="s">
        <v>113</v>
      </c>
      <c r="C107" s="7">
        <v>0</v>
      </c>
      <c r="E107" s="7">
        <f t="shared" si="13"/>
        <v>0</v>
      </c>
      <c r="F107" s="7">
        <v>0</v>
      </c>
      <c r="G107" s="7">
        <f t="shared" si="14"/>
        <v>0</v>
      </c>
      <c r="H107" s="58" t="e">
        <f t="shared" si="19"/>
        <v>#DIV/0!</v>
      </c>
      <c r="I107" s="58" t="e">
        <f t="shared" si="20"/>
        <v>#DIV/0!</v>
      </c>
    </row>
    <row r="108" spans="1:12" hidden="1" x14ac:dyDescent="0.25">
      <c r="A108" s="21" t="s">
        <v>161</v>
      </c>
      <c r="B108" s="6" t="s">
        <v>117</v>
      </c>
      <c r="C108" s="51">
        <v>0</v>
      </c>
      <c r="E108" s="7">
        <f t="shared" si="13"/>
        <v>0</v>
      </c>
      <c r="F108" s="7">
        <v>0</v>
      </c>
      <c r="G108" s="7">
        <f t="shared" si="14"/>
        <v>0</v>
      </c>
      <c r="H108" s="58" t="e">
        <f t="shared" si="19"/>
        <v>#DIV/0!</v>
      </c>
      <c r="I108" s="58" t="e">
        <f t="shared" si="20"/>
        <v>#DIV/0!</v>
      </c>
    </row>
    <row r="109" spans="1:12" hidden="1" x14ac:dyDescent="0.25">
      <c r="A109" s="21"/>
      <c r="B109" s="6"/>
      <c r="C109" s="43"/>
      <c r="E109" s="7"/>
      <c r="F109" s="43"/>
      <c r="G109" s="7"/>
      <c r="H109" s="58"/>
      <c r="I109" s="58"/>
    </row>
    <row r="110" spans="1:12" hidden="1" x14ac:dyDescent="0.25">
      <c r="A110" s="52" t="s">
        <v>48</v>
      </c>
      <c r="B110" s="52"/>
      <c r="C110" s="53">
        <f>SUM(C88:C109)</f>
        <v>0</v>
      </c>
      <c r="D110" s="53">
        <f>SUM(D88:D108)</f>
        <v>0</v>
      </c>
      <c r="E110" s="53">
        <f>SUM(E88:E108)</f>
        <v>0</v>
      </c>
      <c r="F110" s="53">
        <f>SUM(F88:F109)</f>
        <v>0</v>
      </c>
      <c r="G110" s="53">
        <f>SUM(G88:G108)</f>
        <v>0</v>
      </c>
      <c r="H110" s="54" t="e">
        <f t="shared" si="19"/>
        <v>#DIV/0!</v>
      </c>
      <c r="I110" s="54" t="e">
        <f t="shared" si="20"/>
        <v>#DIV/0!</v>
      </c>
    </row>
    <row r="111" spans="1:12" x14ac:dyDescent="0.25">
      <c r="A111" s="6"/>
      <c r="B111" s="6"/>
      <c r="C111" s="7"/>
      <c r="E111" s="7"/>
      <c r="F111" s="7"/>
      <c r="G111" s="7"/>
      <c r="H111" s="48"/>
      <c r="I111" s="48"/>
      <c r="J111" s="4"/>
    </row>
    <row r="112" spans="1:12" ht="16.8" x14ac:dyDescent="0.4">
      <c r="A112" s="6" t="s">
        <v>162</v>
      </c>
      <c r="B112" s="6"/>
      <c r="C112" s="12">
        <f>SUM(C65+C85+C110)</f>
        <v>530456</v>
      </c>
      <c r="D112" s="12">
        <f>SUM(D65+D85+D110)</f>
        <v>0</v>
      </c>
      <c r="E112" s="12">
        <f>SUM(E65+E85+E110)</f>
        <v>530456</v>
      </c>
      <c r="F112" s="12">
        <f>SUM(F65+F85+F110)</f>
        <v>490270</v>
      </c>
      <c r="G112" s="12">
        <f>SUM(G65+G85+G110)</f>
        <v>-40186</v>
      </c>
      <c r="H112" s="48">
        <f t="shared" si="19"/>
        <v>0.92424253849518145</v>
      </c>
      <c r="I112" s="48" t="e">
        <f t="shared" si="20"/>
        <v>#DIV/0!</v>
      </c>
      <c r="J112" s="4"/>
      <c r="L112" s="4"/>
    </row>
    <row r="113" spans="1:11" ht="16.8" x14ac:dyDescent="0.4">
      <c r="A113" s="6"/>
      <c r="B113" s="6"/>
      <c r="C113" s="12"/>
      <c r="D113" s="12"/>
      <c r="E113" s="12"/>
      <c r="F113" s="12"/>
      <c r="G113" s="12"/>
      <c r="H113" s="48"/>
      <c r="I113" s="48"/>
      <c r="J113" s="4"/>
    </row>
    <row r="114" spans="1:11" x14ac:dyDescent="0.25">
      <c r="A114" s="78" t="s">
        <v>163</v>
      </c>
      <c r="B114" s="78"/>
      <c r="C114" s="79">
        <f>SUM(C15+C65)</f>
        <v>173256</v>
      </c>
      <c r="D114" s="79">
        <f>SUM(D15+D65)</f>
        <v>0</v>
      </c>
      <c r="E114" s="79">
        <f>SUM(E15+E65)</f>
        <v>173256</v>
      </c>
      <c r="F114" s="79">
        <f>SUM(F15+F65)</f>
        <v>124545</v>
      </c>
      <c r="G114" s="79">
        <f>SUM(G15+G65)</f>
        <v>-48711</v>
      </c>
      <c r="H114" s="80">
        <f t="shared" si="19"/>
        <v>0.71884956365147523</v>
      </c>
      <c r="I114" s="80" t="e">
        <f t="shared" si="20"/>
        <v>#DIV/0!</v>
      </c>
      <c r="J114" s="4"/>
    </row>
    <row r="115" spans="1:11" x14ac:dyDescent="0.25">
      <c r="A115" s="6"/>
      <c r="B115" s="6"/>
      <c r="C115" s="7"/>
      <c r="E115" s="7"/>
      <c r="F115" s="7"/>
      <c r="G115" s="7"/>
      <c r="H115" s="48"/>
      <c r="I115" s="48"/>
      <c r="J115" s="4"/>
    </row>
    <row r="116" spans="1:11" x14ac:dyDescent="0.25">
      <c r="A116" s="32" t="s">
        <v>164</v>
      </c>
      <c r="B116" s="32"/>
      <c r="C116" s="33">
        <f>C19+C85</f>
        <v>0</v>
      </c>
      <c r="D116" s="33">
        <f>D19+D85</f>
        <v>0</v>
      </c>
      <c r="E116" s="33">
        <f>E19+E85</f>
        <v>0</v>
      </c>
      <c r="F116" s="33">
        <f>F19+F85</f>
        <v>0</v>
      </c>
      <c r="G116" s="33">
        <f>G19+G85</f>
        <v>0</v>
      </c>
      <c r="H116" s="49" t="e">
        <f t="shared" si="19"/>
        <v>#DIV/0!</v>
      </c>
      <c r="I116" s="49" t="e">
        <f t="shared" si="20"/>
        <v>#DIV/0!</v>
      </c>
      <c r="J116" s="4"/>
    </row>
    <row r="117" spans="1:11" x14ac:dyDescent="0.25">
      <c r="A117" s="37"/>
      <c r="B117" s="37"/>
      <c r="C117" s="38"/>
      <c r="D117" s="38"/>
      <c r="E117" s="38"/>
      <c r="F117" s="38"/>
      <c r="G117" s="38"/>
      <c r="H117" s="48"/>
      <c r="I117" s="48"/>
    </row>
    <row r="118" spans="1:11" x14ac:dyDescent="0.25">
      <c r="A118" s="52" t="s">
        <v>165</v>
      </c>
      <c r="B118" s="52"/>
      <c r="C118" s="53">
        <f>C25+C110</f>
        <v>0</v>
      </c>
      <c r="D118" s="53">
        <f>D25+D110</f>
        <v>0</v>
      </c>
      <c r="E118" s="53">
        <f>E25+E110</f>
        <v>0</v>
      </c>
      <c r="F118" s="53"/>
      <c r="G118" s="53">
        <f>G25+G110</f>
        <v>0</v>
      </c>
      <c r="H118" s="54" t="e">
        <f t="shared" si="19"/>
        <v>#DIV/0!</v>
      </c>
      <c r="I118" s="54" t="e">
        <f t="shared" si="20"/>
        <v>#DIV/0!</v>
      </c>
    </row>
    <row r="119" spans="1:11" ht="16.8" x14ac:dyDescent="0.4">
      <c r="A119" s="6"/>
      <c r="B119" s="6"/>
      <c r="C119" s="13"/>
      <c r="D119" s="13"/>
      <c r="E119" s="13"/>
      <c r="F119" s="13"/>
      <c r="G119" s="13"/>
      <c r="H119" s="48"/>
      <c r="I119" s="48"/>
      <c r="J119" s="66"/>
      <c r="K119" s="4"/>
    </row>
    <row r="120" spans="1:11" ht="16.8" x14ac:dyDescent="0.4">
      <c r="A120" s="10" t="s">
        <v>166</v>
      </c>
      <c r="B120" s="6"/>
      <c r="C120" s="13">
        <f>SUM(C27+C112)</f>
        <v>173256</v>
      </c>
      <c r="D120" s="13">
        <f>SUM(D27+D112)</f>
        <v>0</v>
      </c>
      <c r="E120" s="13">
        <f>SUM(E27+E112)</f>
        <v>173256</v>
      </c>
      <c r="F120" s="13">
        <f>SUM(F27+F112)</f>
        <v>124545</v>
      </c>
      <c r="G120" s="13">
        <f>SUM(G27+G112)</f>
        <v>-48711</v>
      </c>
      <c r="H120" s="48">
        <f>F120/C120</f>
        <v>0.71884956365147523</v>
      </c>
      <c r="I120" s="48" t="e">
        <f t="shared" si="20"/>
        <v>#DIV/0!</v>
      </c>
      <c r="J120" s="57"/>
      <c r="K120" s="4"/>
    </row>
    <row r="121" spans="1:11" x14ac:dyDescent="0.25">
      <c r="J121" s="57"/>
      <c r="K121" s="4"/>
    </row>
    <row r="122" spans="1:11" x14ac:dyDescent="0.25">
      <c r="H122" s="64"/>
    </row>
    <row r="123" spans="1:11" ht="13.2" x14ac:dyDescent="0.25">
      <c r="D123" s="2"/>
    </row>
  </sheetData>
  <mergeCells count="1">
    <mergeCell ref="A1:G1"/>
  </mergeCells>
  <phoneticPr fontId="1" type="noConversion"/>
  <conditionalFormatting sqref="A31:A86 A6:A12">
    <cfRule type="expression" dxfId="76" priority="495" stopIfTrue="1">
      <formula>AND(COUNTIF($A$1:$A$350, A6)&gt;1,NOT(ISBLANK(A6)))</formula>
    </cfRule>
  </conditionalFormatting>
  <conditionalFormatting sqref="A74:A86">
    <cfRule type="expression" dxfId="75" priority="86" stopIfTrue="1">
      <formula>AND(COUNTIF($A$1:$A$290, A74)&gt;1,NOT(ISBLANK(A74)))</formula>
    </cfRule>
  </conditionalFormatting>
  <conditionalFormatting sqref="A88:A109">
    <cfRule type="expression" dxfId="74" priority="25" stopIfTrue="1">
      <formula>AND(COUNTIF($A$1:$A$310, A88)&gt;1,NOT(ISBLANK(A88)))</formula>
    </cfRule>
  </conditionalFormatting>
  <pageMargins left="0.74803149606299213" right="0.74803149606299213" top="0.98425196850393704" bottom="0.98425196850393704" header="0.51181102362204722" footer="0.51181102362204722"/>
  <pageSetup scale="70" orientation="portrait" r:id="rId1"/>
  <headerFooter alignWithMargins="0"/>
  <ignoredErrors>
    <ignoredError sqref="H50" evalErro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</sheetPr>
  <dimension ref="A1:M28"/>
  <sheetViews>
    <sheetView topLeftCell="A3" zoomScale="90" zoomScaleNormal="90" workbookViewId="0">
      <selection activeCell="B1" sqref="B1"/>
    </sheetView>
  </sheetViews>
  <sheetFormatPr defaultRowHeight="13.2" x14ac:dyDescent="0.25"/>
  <cols>
    <col min="1" max="1" width="17.33203125" customWidth="1"/>
    <col min="2" max="2" width="29.44140625" customWidth="1"/>
    <col min="3" max="3" width="16.33203125" style="2" customWidth="1"/>
    <col min="4" max="4" width="17.5546875" style="2" customWidth="1"/>
    <col min="5" max="5" width="14.33203125" style="1" customWidth="1"/>
    <col min="6" max="6" width="14.6640625" style="1" customWidth="1"/>
    <col min="7" max="7" width="16.44140625" style="1" customWidth="1"/>
    <col min="8" max="8" width="12.5546875" style="47" customWidth="1"/>
    <col min="9" max="9" width="11.6640625" style="47" customWidth="1"/>
    <col min="10" max="13" width="10" customWidth="1"/>
  </cols>
  <sheetData>
    <row r="1" spans="1:13" ht="15.6" x14ac:dyDescent="0.3">
      <c r="A1" s="126" t="s">
        <v>14</v>
      </c>
      <c r="B1" s="127"/>
      <c r="C1" s="127"/>
      <c r="D1" s="127"/>
      <c r="E1" s="127"/>
      <c r="F1" s="127"/>
      <c r="G1" s="127"/>
      <c r="H1" s="119"/>
      <c r="I1" s="119"/>
      <c r="J1" s="128"/>
      <c r="K1" s="128"/>
      <c r="L1" s="128"/>
      <c r="M1" s="128"/>
    </row>
    <row r="2" spans="1:13" ht="15.6" x14ac:dyDescent="0.3">
      <c r="A2" s="121" t="str">
        <f>'Library Accts'!A2</f>
        <v>2026 Draft Budget</v>
      </c>
      <c r="B2" s="122"/>
      <c r="C2" s="123"/>
      <c r="D2" s="123"/>
      <c r="E2" s="247"/>
      <c r="F2" s="247"/>
      <c r="G2" s="247"/>
      <c r="H2" s="124"/>
      <c r="I2" s="124"/>
      <c r="J2" s="105"/>
      <c r="K2" s="105"/>
      <c r="L2" s="105"/>
      <c r="M2" s="105"/>
    </row>
    <row r="3" spans="1:13" ht="90" customHeight="1" x14ac:dyDescent="0.25">
      <c r="A3" s="206"/>
      <c r="B3" s="191"/>
      <c r="C3" s="140" t="str">
        <f>'Library Accts'!C3</f>
        <v>2025 Budget</v>
      </c>
      <c r="D3" s="140" t="str">
        <f>Summary!C5</f>
        <v>2025 Year End Projection per Third Quarter Financials</v>
      </c>
      <c r="E3" s="140" t="str">
        <f>'Library Accts'!E3</f>
        <v>Variance Budget to Actual</v>
      </c>
      <c r="F3" s="140" t="str">
        <f>'Library Accts'!F3</f>
        <v>2026 Budget</v>
      </c>
      <c r="G3" s="140" t="str">
        <f>'Library Accts'!G3</f>
        <v>Variance         Budget to Budget</v>
      </c>
      <c r="H3" s="140" t="str">
        <f>'Library Accts'!H3</f>
        <v>% Variance Budget to Budget</v>
      </c>
      <c r="I3" s="140" t="str">
        <f>'Library Accts'!I3</f>
        <v>% Variance 2025 Actual to 2026 Budget</v>
      </c>
      <c r="J3" s="291" t="s">
        <v>901</v>
      </c>
      <c r="K3" s="292"/>
      <c r="L3" s="292"/>
      <c r="M3" s="293"/>
    </row>
    <row r="4" spans="1:13" ht="15.6" x14ac:dyDescent="0.25">
      <c r="A4" s="219"/>
      <c r="B4" s="172"/>
      <c r="C4" s="220"/>
      <c r="D4" s="220"/>
      <c r="E4" s="220"/>
      <c r="F4" s="220"/>
      <c r="G4" s="220"/>
      <c r="H4" s="220"/>
      <c r="I4" s="220"/>
      <c r="J4" s="158"/>
      <c r="K4" s="172"/>
      <c r="L4" s="172"/>
      <c r="M4" s="171"/>
    </row>
    <row r="5" spans="1:13" ht="15" x14ac:dyDescent="0.25">
      <c r="A5" s="143" t="s">
        <v>22</v>
      </c>
      <c r="B5" s="173"/>
      <c r="C5" s="97"/>
      <c r="D5" s="97"/>
      <c r="E5" s="241"/>
      <c r="F5" s="241"/>
      <c r="G5" s="241"/>
      <c r="H5" s="98"/>
      <c r="I5" s="98"/>
      <c r="J5" s="261"/>
      <c r="K5" s="213"/>
      <c r="L5" s="213"/>
      <c r="M5" s="214"/>
    </row>
    <row r="6" spans="1:13" ht="15" x14ac:dyDescent="0.25">
      <c r="A6" s="143"/>
      <c r="B6" s="173"/>
      <c r="C6" s="97"/>
      <c r="D6" s="97"/>
      <c r="E6" s="241"/>
      <c r="F6" s="241"/>
      <c r="G6" s="241"/>
      <c r="H6" s="98"/>
      <c r="I6" s="98"/>
      <c r="J6" s="261"/>
      <c r="K6" s="213"/>
      <c r="L6" s="213"/>
      <c r="M6" s="214"/>
    </row>
    <row r="7" spans="1:13" ht="15" x14ac:dyDescent="0.25">
      <c r="A7" s="144"/>
      <c r="B7" s="173" t="s">
        <v>300</v>
      </c>
      <c r="C7" s="241">
        <f>'Library Accts'!C6</f>
        <v>-17300</v>
      </c>
      <c r="D7" s="241">
        <v>-17300</v>
      </c>
      <c r="E7" s="241">
        <f>C7-D7</f>
        <v>0</v>
      </c>
      <c r="F7" s="241">
        <f>'Library Accts'!F6</f>
        <v>-17300</v>
      </c>
      <c r="G7" s="241">
        <f>F7-C7</f>
        <v>0</v>
      </c>
      <c r="H7" s="100">
        <f>F7/C7</f>
        <v>1</v>
      </c>
      <c r="I7" s="100">
        <f>F7/D7</f>
        <v>1</v>
      </c>
      <c r="J7" s="261"/>
      <c r="K7" s="213"/>
      <c r="L7" s="213"/>
      <c r="M7" s="214"/>
    </row>
    <row r="8" spans="1:13" ht="15" x14ac:dyDescent="0.25">
      <c r="A8" s="144"/>
      <c r="B8" s="173" t="s">
        <v>902</v>
      </c>
      <c r="C8" s="241">
        <f>'Library Accts'!C7+'Library Accts'!C8+'Library Accts'!C9+'Library Accts'!C10+'Library Accts'!C11+'Library Accts'!C12+'Library Accts'!C13+'Library Accts'!C14+'Library Accts'!C15</f>
        <v>-32700</v>
      </c>
      <c r="D8" s="241">
        <v>-18621</v>
      </c>
      <c r="E8" s="241">
        <f>C8-D8</f>
        <v>-14079</v>
      </c>
      <c r="F8" s="241">
        <f>'Library Accts'!F7+'Library Accts'!F8+'Library Accts'!F9+'Library Accts'!F10+'Library Accts'!F11+'Library Accts'!F12+'Library Accts'!F13+'Library Accts'!F14+'Library Accts'!F15</f>
        <v>-33580</v>
      </c>
      <c r="G8" s="241">
        <f>F8-C8</f>
        <v>-880</v>
      </c>
      <c r="H8" s="100">
        <f t="shared" ref="H8:H21" si="0">F8/C8</f>
        <v>1.0269113149847096</v>
      </c>
      <c r="I8" s="100">
        <f t="shared" ref="I8:I27" si="1">F8/D8</f>
        <v>1.8033403146984588</v>
      </c>
      <c r="J8" s="261"/>
      <c r="K8" s="213"/>
      <c r="L8" s="213"/>
      <c r="M8" s="214"/>
    </row>
    <row r="9" spans="1:13" ht="15" x14ac:dyDescent="0.25">
      <c r="A9" s="145"/>
      <c r="B9" s="173" t="s">
        <v>320</v>
      </c>
      <c r="C9" s="241">
        <f>'Library Accts'!C16</f>
        <v>0</v>
      </c>
      <c r="D9" s="241">
        <v>-14079</v>
      </c>
      <c r="E9" s="241">
        <f>C9-D9</f>
        <v>14079</v>
      </c>
      <c r="F9" s="241">
        <f>'Library Accts'!F16</f>
        <v>0</v>
      </c>
      <c r="G9" s="241">
        <f>F9-C9</f>
        <v>0</v>
      </c>
      <c r="H9" s="100" t="e">
        <f t="shared" si="0"/>
        <v>#DIV/0!</v>
      </c>
      <c r="I9" s="100">
        <f t="shared" si="1"/>
        <v>0</v>
      </c>
      <c r="J9" s="261"/>
      <c r="K9" s="213"/>
      <c r="L9" s="213"/>
      <c r="M9" s="214"/>
    </row>
    <row r="10" spans="1:13" ht="15" x14ac:dyDescent="0.25">
      <c r="A10" s="143"/>
      <c r="B10" s="173"/>
      <c r="C10" s="241"/>
      <c r="D10" s="97"/>
      <c r="E10" s="241"/>
      <c r="F10" s="241"/>
      <c r="G10" s="241"/>
      <c r="H10" s="100"/>
      <c r="I10" s="100"/>
      <c r="J10" s="261"/>
      <c r="K10" s="213"/>
      <c r="L10" s="213"/>
      <c r="M10" s="214"/>
    </row>
    <row r="11" spans="1:13" ht="15" x14ac:dyDescent="0.25">
      <c r="A11" s="144" t="s">
        <v>49</v>
      </c>
      <c r="B11" s="173"/>
      <c r="C11" s="241">
        <f>SUM(C7:C10)</f>
        <v>-50000</v>
      </c>
      <c r="D11" s="241">
        <f>SUM(D7:D9)</f>
        <v>-50000</v>
      </c>
      <c r="E11" s="241">
        <f>SUM(E7:E9)</f>
        <v>0</v>
      </c>
      <c r="F11" s="241">
        <f>SUM(F7:F9)</f>
        <v>-50880</v>
      </c>
      <c r="G11" s="241">
        <f>SUM(G7:G9)</f>
        <v>-880</v>
      </c>
      <c r="H11" s="100">
        <f t="shared" si="0"/>
        <v>1.0176000000000001</v>
      </c>
      <c r="I11" s="100">
        <f t="shared" si="1"/>
        <v>1.0176000000000001</v>
      </c>
      <c r="J11" s="261"/>
      <c r="K11" s="213"/>
      <c r="L11" s="213"/>
      <c r="M11" s="214"/>
    </row>
    <row r="12" spans="1:13" ht="15" x14ac:dyDescent="0.25">
      <c r="A12" s="258"/>
      <c r="B12" s="174"/>
      <c r="C12" s="245"/>
      <c r="D12" s="245"/>
      <c r="E12" s="245"/>
      <c r="F12" s="245"/>
      <c r="G12" s="245"/>
      <c r="H12" s="156"/>
      <c r="I12" s="156"/>
      <c r="J12" s="259"/>
      <c r="K12" s="222"/>
      <c r="L12" s="222"/>
      <c r="M12" s="223"/>
    </row>
    <row r="13" spans="1:13" ht="15" x14ac:dyDescent="0.25">
      <c r="A13" s="158"/>
      <c r="B13" s="172"/>
      <c r="C13" s="250"/>
      <c r="D13" s="151"/>
      <c r="E13" s="250"/>
      <c r="F13" s="250"/>
      <c r="G13" s="250"/>
      <c r="H13" s="159"/>
      <c r="I13" s="159"/>
      <c r="J13" s="262"/>
      <c r="K13" s="224"/>
      <c r="L13" s="224"/>
      <c r="M13" s="225"/>
    </row>
    <row r="14" spans="1:13" ht="15" x14ac:dyDescent="0.25">
      <c r="A14" s="144" t="s">
        <v>50</v>
      </c>
      <c r="B14" s="173"/>
      <c r="C14" s="241"/>
      <c r="D14" s="97"/>
      <c r="E14" s="241"/>
      <c r="F14" s="241"/>
      <c r="G14" s="241"/>
      <c r="H14" s="100"/>
      <c r="I14" s="100"/>
      <c r="J14" s="261"/>
      <c r="K14" s="213"/>
      <c r="L14" s="213"/>
      <c r="M14" s="214"/>
    </row>
    <row r="15" spans="1:13" ht="15" x14ac:dyDescent="0.25">
      <c r="A15" s="143"/>
      <c r="B15" s="173"/>
      <c r="C15" s="241"/>
      <c r="D15" s="97"/>
      <c r="E15" s="241"/>
      <c r="F15" s="241"/>
      <c r="G15" s="241"/>
      <c r="H15" s="100"/>
      <c r="I15" s="100"/>
      <c r="J15" s="261"/>
      <c r="K15" s="213"/>
      <c r="L15" s="213"/>
      <c r="M15" s="214"/>
    </row>
    <row r="16" spans="1:13" ht="15" x14ac:dyDescent="0.25">
      <c r="A16" s="145"/>
      <c r="B16" s="173" t="s">
        <v>903</v>
      </c>
      <c r="C16" s="241">
        <f>'Library Accts'!C22+'Library Accts'!C23+'Library Accts'!C24+'Library Accts'!C25+'Library Accts'!C26+'Library Accts'!C27+'Library Accts'!C28+'Library Accts'!C29</f>
        <v>254763</v>
      </c>
      <c r="D16" s="241">
        <v>254763</v>
      </c>
      <c r="E16" s="241">
        <f t="shared" ref="E16:E22" si="2">C16-D16</f>
        <v>0</v>
      </c>
      <c r="F16" s="241">
        <f>'Library Accts'!F22+'Library Accts'!F23+'Library Accts'!F25+'Library Accts'!F26+'Library Accts'!F27+'Library Accts'!F28+'Library Accts'!F29</f>
        <v>253192</v>
      </c>
      <c r="G16" s="241">
        <f t="shared" ref="G16:G22" si="3">F16-C16</f>
        <v>-1571</v>
      </c>
      <c r="H16" s="100">
        <f>F16/C16</f>
        <v>0.99383348445417896</v>
      </c>
      <c r="I16" s="100">
        <f>F16/D16</f>
        <v>0.99383348445417896</v>
      </c>
      <c r="J16" s="261"/>
      <c r="K16" s="213"/>
      <c r="L16" s="213"/>
      <c r="M16" s="214"/>
    </row>
    <row r="17" spans="1:13" ht="15" x14ac:dyDescent="0.25">
      <c r="A17" s="181"/>
      <c r="B17" s="173" t="s">
        <v>904</v>
      </c>
      <c r="C17" s="241">
        <f>'Library Accts'!C31+'Library Accts'!C30+'Library Accts'!C32</f>
        <v>3300</v>
      </c>
      <c r="D17" s="241">
        <v>3300</v>
      </c>
      <c r="E17" s="241">
        <f t="shared" si="2"/>
        <v>0</v>
      </c>
      <c r="F17" s="241">
        <f>'Library Accts'!F31+'Library Accts'!F30+'Library Accts'!F32</f>
        <v>3125</v>
      </c>
      <c r="G17" s="241">
        <f t="shared" si="3"/>
        <v>-175</v>
      </c>
      <c r="H17" s="100">
        <f t="shared" si="0"/>
        <v>0.94696969696969702</v>
      </c>
      <c r="I17" s="100">
        <f t="shared" si="1"/>
        <v>0.94696969696969702</v>
      </c>
      <c r="J17" s="261"/>
      <c r="K17" s="213"/>
      <c r="L17" s="213"/>
      <c r="M17" s="214"/>
    </row>
    <row r="18" spans="1:13" ht="15" x14ac:dyDescent="0.25">
      <c r="A18" s="145"/>
      <c r="B18" s="173" t="s">
        <v>905</v>
      </c>
      <c r="C18" s="241">
        <f>'Library Accts'!C33+'Library Accts'!C34+'Library Accts'!C35+'Library Accts'!C36+'Library Accts'!C37+'Library Accts'!C38+'Library Accts'!C39+'Library Accts'!C40+'Library Accts'!C41+'Library Accts'!C42+'Library Accts'!C60+'Library Accts'!C61+'Library Accts'!C62</f>
        <v>35620</v>
      </c>
      <c r="D18" s="241">
        <v>35620</v>
      </c>
      <c r="E18" s="241">
        <f t="shared" si="2"/>
        <v>0</v>
      </c>
      <c r="F18" s="241">
        <f>'Library Accts'!F33+'Library Accts'!F34+'Library Accts'!F35+'Library Accts'!F36+'Library Accts'!F37+'Library Accts'!F38+'Library Accts'!F39+'Library Accts'!F40+'Library Accts'!F41+'Library Accts'!F42+'Library Accts'!F60+'Library Accts'!F61+'Library Accts'!F62</f>
        <v>36872</v>
      </c>
      <c r="G18" s="241">
        <f t="shared" si="3"/>
        <v>1252</v>
      </c>
      <c r="H18" s="100">
        <f t="shared" si="0"/>
        <v>1.0351487928130263</v>
      </c>
      <c r="I18" s="100">
        <f t="shared" si="1"/>
        <v>1.0351487928130263</v>
      </c>
      <c r="J18" s="261"/>
      <c r="K18" s="213"/>
      <c r="L18" s="213"/>
      <c r="M18" s="214"/>
    </row>
    <row r="19" spans="1:13" ht="15" x14ac:dyDescent="0.25">
      <c r="A19" s="146"/>
      <c r="B19" s="173" t="s">
        <v>821</v>
      </c>
      <c r="C19" s="241">
        <f>'Library Accts'!C43+'Library Accts'!C44+'Library Accts'!C45+'Library Accts'!C46+'Library Accts'!C47+'Library Accts'!C48+'Library Accts'!C49+'Library Accts'!C50+'Library Accts'!C51+'Library Accts'!C52+'Library Accts'!C59</f>
        <v>39745</v>
      </c>
      <c r="D19" s="241">
        <v>39745</v>
      </c>
      <c r="E19" s="241">
        <f t="shared" si="2"/>
        <v>0</v>
      </c>
      <c r="F19" s="241">
        <f>'Library Accts'!F43+'Library Accts'!F44+'Library Accts'!F45+'Library Accts'!F46+'Library Accts'!F47+'Library Accts'!F48+'Library Accts'!F49+'Library Accts'!F50+'Library Accts'!F51+'Library Accts'!F52+'Library Accts'!F59</f>
        <v>40450</v>
      </c>
      <c r="G19" s="241">
        <f t="shared" si="3"/>
        <v>705</v>
      </c>
      <c r="H19" s="100">
        <f t="shared" si="0"/>
        <v>1.0177380802616682</v>
      </c>
      <c r="I19" s="100">
        <f t="shared" si="1"/>
        <v>1.0177380802616682</v>
      </c>
      <c r="J19" s="261"/>
      <c r="K19" s="213"/>
      <c r="L19" s="213"/>
      <c r="M19" s="214"/>
    </row>
    <row r="20" spans="1:13" ht="15" x14ac:dyDescent="0.25">
      <c r="A20" s="181"/>
      <c r="B20" s="173" t="s">
        <v>906</v>
      </c>
      <c r="C20" s="241">
        <f>'Library Accts'!C53+'Library Accts'!C54+'Library Accts'!C55+'Library Accts'!C56+'Library Accts'!C57+'Library Accts'!C58+'Library Accts'!C63</f>
        <v>32730</v>
      </c>
      <c r="D20" s="241">
        <v>32730</v>
      </c>
      <c r="E20" s="241">
        <f t="shared" si="2"/>
        <v>0</v>
      </c>
      <c r="F20" s="241">
        <f>'Library Accts'!F53+'Library Accts'!F54+'Library Accts'!F55+'Library Accts'!F56+'Library Accts'!F57+'Library Accts'!F58+'Library Accts'!F63</f>
        <v>37370</v>
      </c>
      <c r="G20" s="241">
        <f t="shared" si="3"/>
        <v>4640</v>
      </c>
      <c r="H20" s="100">
        <f t="shared" si="0"/>
        <v>1.1417659639474489</v>
      </c>
      <c r="I20" s="100">
        <f t="shared" si="1"/>
        <v>1.1417659639474489</v>
      </c>
      <c r="J20" s="261"/>
      <c r="K20" s="213"/>
      <c r="L20" s="213"/>
      <c r="M20" s="214"/>
    </row>
    <row r="21" spans="1:13" ht="15" x14ac:dyDescent="0.25">
      <c r="A21" s="146"/>
      <c r="B21" s="173" t="s">
        <v>115</v>
      </c>
      <c r="C21" s="241">
        <f>'Library Accts'!C67</f>
        <v>1500</v>
      </c>
      <c r="D21" s="241">
        <v>1500</v>
      </c>
      <c r="E21" s="241">
        <f t="shared" si="2"/>
        <v>0</v>
      </c>
      <c r="F21" s="241">
        <f>'Library Accts'!F67</f>
        <v>1500</v>
      </c>
      <c r="G21" s="241">
        <f t="shared" si="3"/>
        <v>0</v>
      </c>
      <c r="H21" s="100">
        <f t="shared" si="0"/>
        <v>1</v>
      </c>
      <c r="I21" s="100">
        <f t="shared" si="1"/>
        <v>1</v>
      </c>
      <c r="J21" s="261"/>
      <c r="K21" s="213"/>
      <c r="L21" s="213"/>
      <c r="M21" s="214"/>
    </row>
    <row r="22" spans="1:13" ht="15" x14ac:dyDescent="0.25">
      <c r="A22" s="146"/>
      <c r="B22" s="173" t="s">
        <v>907</v>
      </c>
      <c r="C22" s="241">
        <f>'Library Accts'!C64+'Library Accts'!C65+'Library Accts'!C66</f>
        <v>0</v>
      </c>
      <c r="D22" s="241"/>
      <c r="E22" s="241">
        <f t="shared" si="2"/>
        <v>0</v>
      </c>
      <c r="F22" s="241">
        <f>'Library Accts'!F64+'Library Accts'!F65+'Library Accts'!F66</f>
        <v>0</v>
      </c>
      <c r="G22" s="241">
        <f t="shared" si="3"/>
        <v>0</v>
      </c>
      <c r="H22" s="100"/>
      <c r="I22" s="100" t="e">
        <f t="shared" si="1"/>
        <v>#DIV/0!</v>
      </c>
      <c r="J22" s="261"/>
      <c r="K22" s="213"/>
      <c r="L22" s="213"/>
      <c r="M22" s="214"/>
    </row>
    <row r="23" spans="1:13" ht="15" x14ac:dyDescent="0.25">
      <c r="A23" s="143"/>
      <c r="B23" s="173"/>
      <c r="C23" s="241"/>
      <c r="D23" s="97"/>
      <c r="E23" s="241"/>
      <c r="F23" s="241"/>
      <c r="G23" s="241"/>
      <c r="H23" s="100"/>
      <c r="I23" s="100"/>
      <c r="J23" s="261"/>
      <c r="K23" s="213"/>
      <c r="L23" s="213"/>
      <c r="M23" s="214"/>
    </row>
    <row r="24" spans="1:13" ht="15" x14ac:dyDescent="0.25">
      <c r="A24" s="145" t="s">
        <v>162</v>
      </c>
      <c r="B24" s="173"/>
      <c r="C24" s="241">
        <f>SUM(C16:C23)</f>
        <v>367658</v>
      </c>
      <c r="D24" s="241">
        <f>SUM(D16:D23)</f>
        <v>367658</v>
      </c>
      <c r="E24" s="241">
        <f>SUM(E16:E23)</f>
        <v>0</v>
      </c>
      <c r="F24" s="241">
        <f>SUM(F16:F23)</f>
        <v>372509</v>
      </c>
      <c r="G24" s="241">
        <f>SUM(G16:G22)</f>
        <v>4851</v>
      </c>
      <c r="H24" s="100">
        <f>F24/C24</f>
        <v>1.0131943273368185</v>
      </c>
      <c r="I24" s="100">
        <f t="shared" si="1"/>
        <v>1.0131943273368185</v>
      </c>
      <c r="J24" s="261"/>
      <c r="K24" s="213"/>
      <c r="L24" s="213"/>
      <c r="M24" s="214"/>
    </row>
    <row r="25" spans="1:13" ht="15" x14ac:dyDescent="0.25">
      <c r="A25" s="226"/>
      <c r="B25" s="174"/>
      <c r="C25" s="245"/>
      <c r="D25" s="245"/>
      <c r="E25" s="245"/>
      <c r="F25" s="245"/>
      <c r="G25" s="245"/>
      <c r="H25" s="156"/>
      <c r="I25" s="156"/>
      <c r="J25" s="259"/>
      <c r="K25" s="222"/>
      <c r="L25" s="222"/>
      <c r="M25" s="223"/>
    </row>
    <row r="26" spans="1:13" ht="15" x14ac:dyDescent="0.25">
      <c r="A26" s="143"/>
      <c r="B26" s="173"/>
      <c r="C26" s="241"/>
      <c r="D26" s="97"/>
      <c r="E26" s="241"/>
      <c r="F26" s="241"/>
      <c r="G26" s="241"/>
      <c r="H26" s="100"/>
      <c r="I26" s="100"/>
      <c r="J26" s="261"/>
      <c r="K26" s="213"/>
      <c r="L26" s="213"/>
      <c r="M26" s="214"/>
    </row>
    <row r="27" spans="1:13" ht="15" x14ac:dyDescent="0.25">
      <c r="A27" s="143" t="s">
        <v>166</v>
      </c>
      <c r="B27" s="173"/>
      <c r="C27" s="241">
        <f>C11+C24</f>
        <v>317658</v>
      </c>
      <c r="D27" s="241">
        <f>D11+D24</f>
        <v>317658</v>
      </c>
      <c r="E27" s="241">
        <f>E11-E24</f>
        <v>0</v>
      </c>
      <c r="F27" s="241">
        <f>F11+F24</f>
        <v>321629</v>
      </c>
      <c r="G27" s="241">
        <f>G11+G24</f>
        <v>3971</v>
      </c>
      <c r="H27" s="100">
        <f>F27/C27</f>
        <v>1.0125008657109218</v>
      </c>
      <c r="I27" s="100">
        <f t="shared" si="1"/>
        <v>1.0125008657109218</v>
      </c>
      <c r="J27" s="261"/>
      <c r="K27" s="213"/>
      <c r="L27" s="213"/>
      <c r="M27" s="214"/>
    </row>
    <row r="28" spans="1:13" x14ac:dyDescent="0.25">
      <c r="A28" s="231"/>
      <c r="B28" s="232"/>
      <c r="C28" s="233"/>
      <c r="D28" s="233"/>
      <c r="E28" s="260"/>
      <c r="F28" s="260"/>
      <c r="G28" s="260"/>
      <c r="H28" s="246"/>
      <c r="I28" s="246"/>
      <c r="J28" s="231"/>
      <c r="K28" s="232"/>
      <c r="L28" s="232"/>
      <c r="M28" s="234"/>
    </row>
  </sheetData>
  <mergeCells count="1">
    <mergeCell ref="J3:M3"/>
  </mergeCells>
  <conditionalFormatting sqref="A7:A8 A11:A12 A14 A16:A20 A24:A25">
    <cfRule type="expression" dxfId="21" priority="1" stopIfTrue="1">
      <formula>AND(COUNTIF($A$1:$A$305, A7)&gt;1,NOT(ISBLANK(A7)))</formula>
    </cfRule>
  </conditionalFormatting>
  <conditionalFormatting sqref="A9">
    <cfRule type="expression" dxfId="20" priority="4" stopIfTrue="1">
      <formula>AND(COUNTIF($A$1:$A$303, A9)&gt;1,NOT(ISBLANK(A9)))</formula>
    </cfRule>
  </conditionalFormatting>
  <conditionalFormatting sqref="A21:A22 A9">
    <cfRule type="expression" dxfId="19" priority="3" stopIfTrue="1">
      <formula>AND(COUNTIF($A$302:$A$302, A9)&gt;1,NOT(ISBLANK(A9)))</formula>
    </cfRule>
  </conditionalFormatting>
  <conditionalFormatting sqref="A21:A22">
    <cfRule type="expression" dxfId="18" priority="2" stopIfTrue="1">
      <formula>AND(COUNTIF($A$1:$A$304, A21)&gt;1,NOT(ISBLANK(A21)))</formula>
    </cfRule>
  </conditionalFormatting>
  <pageMargins left="0.7" right="0.7" top="0.75" bottom="0.75" header="0.3" footer="0.3"/>
  <pageSetup paperSize="5" scale="70" orientation="landscape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</sheetPr>
  <dimension ref="A1:U37"/>
  <sheetViews>
    <sheetView topLeftCell="A9" zoomScale="90" zoomScaleNormal="90" workbookViewId="0">
      <selection activeCell="F23" sqref="F23"/>
    </sheetView>
  </sheetViews>
  <sheetFormatPr defaultColWidth="9.33203125" defaultRowHeight="13.2" x14ac:dyDescent="0.25"/>
  <cols>
    <col min="1" max="1" width="17.33203125" style="86" customWidth="1"/>
    <col min="2" max="2" width="30.33203125" style="86" customWidth="1"/>
    <col min="3" max="3" width="15" style="88" customWidth="1"/>
    <col min="4" max="4" width="16.5546875" style="88" customWidth="1"/>
    <col min="5" max="5" width="13.6640625" style="88" customWidth="1"/>
    <col min="6" max="6" width="14.33203125" style="88" customWidth="1"/>
    <col min="7" max="7" width="17.6640625" style="88" customWidth="1"/>
    <col min="8" max="8" width="12.44140625" style="90" customWidth="1"/>
    <col min="9" max="9" width="12.6640625" style="90" bestFit="1" customWidth="1"/>
    <col min="10" max="20" width="11.6640625" style="86" customWidth="1"/>
    <col min="21" max="16384" width="9.33203125" style="86"/>
  </cols>
  <sheetData>
    <row r="1" spans="1:20" ht="15.6" x14ac:dyDescent="0.25">
      <c r="A1" s="129" t="s">
        <v>564</v>
      </c>
      <c r="B1" s="130"/>
      <c r="C1" s="130"/>
      <c r="D1" s="130"/>
      <c r="E1" s="130"/>
      <c r="F1" s="130"/>
      <c r="G1" s="130"/>
      <c r="H1" s="132"/>
      <c r="I1" s="132"/>
      <c r="J1" s="192"/>
      <c r="K1" s="192"/>
      <c r="L1" s="192"/>
      <c r="M1" s="192"/>
    </row>
    <row r="2" spans="1:20" ht="15.6" x14ac:dyDescent="0.25">
      <c r="A2" s="133" t="str">
        <f>'Parks and Rec Accts'!A2</f>
        <v>2026 Draft Budget</v>
      </c>
      <c r="B2" s="134"/>
      <c r="C2" s="135"/>
      <c r="D2" s="135"/>
      <c r="E2" s="135"/>
      <c r="F2" s="135"/>
      <c r="G2" s="135"/>
      <c r="H2" s="136"/>
      <c r="I2" s="136"/>
      <c r="J2" s="149"/>
      <c r="K2" s="149"/>
      <c r="L2" s="149"/>
      <c r="M2" s="149"/>
    </row>
    <row r="3" spans="1:20" ht="90" customHeight="1" x14ac:dyDescent="0.25">
      <c r="A3" s="138"/>
      <c r="B3" s="139"/>
      <c r="C3" s="140" t="str">
        <f>'Parks and Rec Accts'!C3</f>
        <v>2025 Budget</v>
      </c>
      <c r="D3" s="140" t="str">
        <f>Summary!C5</f>
        <v>2025 Year End Projection per Third Quarter Financials</v>
      </c>
      <c r="E3" s="140" t="str">
        <f>'Parks and Rec Accts'!E3</f>
        <v>Variance Budget to Actual</v>
      </c>
      <c r="F3" s="140" t="str">
        <f>'Parks and Rec Accts'!F3</f>
        <v>2026 Budget</v>
      </c>
      <c r="G3" s="140" t="str">
        <f>'Parks and Rec Accts'!G3</f>
        <v>Variance         Budget to Budget</v>
      </c>
      <c r="H3" s="140" t="str">
        <f>'Parks and Rec Accts'!H3</f>
        <v>% Variance Budget to Budget</v>
      </c>
      <c r="I3" s="140" t="str">
        <f>'Parks and Rec Accts'!I3</f>
        <v>% Variance 2025 Actual to 2026 Budget</v>
      </c>
      <c r="J3" s="291" t="s">
        <v>901</v>
      </c>
      <c r="K3" s="292"/>
      <c r="L3" s="292"/>
      <c r="M3" s="293"/>
      <c r="N3" s="87"/>
      <c r="O3" s="87"/>
      <c r="P3" s="87"/>
      <c r="Q3" s="87"/>
      <c r="R3" s="87"/>
      <c r="S3" s="87"/>
      <c r="T3" s="87"/>
    </row>
    <row r="4" spans="1:20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61"/>
      <c r="K4" s="162"/>
      <c r="L4" s="162"/>
      <c r="M4" s="163"/>
      <c r="N4" s="91"/>
      <c r="O4" s="91"/>
      <c r="P4" s="91"/>
      <c r="Q4" s="91"/>
      <c r="R4" s="91"/>
      <c r="S4" s="91"/>
      <c r="T4" s="91"/>
    </row>
    <row r="5" spans="1:20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  <c r="N5" s="91"/>
      <c r="O5" s="91"/>
      <c r="P5" s="91"/>
      <c r="Q5" s="91"/>
      <c r="R5" s="91"/>
      <c r="S5" s="91"/>
      <c r="T5" s="91"/>
    </row>
    <row r="6" spans="1:20" ht="15" x14ac:dyDescent="0.25">
      <c r="A6" s="143"/>
      <c r="B6" s="173"/>
      <c r="C6" s="97"/>
      <c r="D6" s="97"/>
      <c r="E6" s="97"/>
      <c r="F6" s="97"/>
      <c r="G6" s="97"/>
      <c r="H6" s="100"/>
      <c r="I6" s="100"/>
      <c r="J6" s="109"/>
      <c r="K6" s="91"/>
      <c r="L6" s="91"/>
      <c r="M6" s="110"/>
      <c r="N6" s="91"/>
      <c r="O6" s="91"/>
      <c r="P6" s="91"/>
      <c r="Q6" s="91"/>
      <c r="R6" s="91"/>
      <c r="S6" s="91"/>
      <c r="T6" s="91"/>
    </row>
    <row r="7" spans="1:20" ht="15" x14ac:dyDescent="0.25">
      <c r="A7" s="143"/>
      <c r="B7" s="173" t="s">
        <v>300</v>
      </c>
      <c r="C7" s="97">
        <f>'Parks and Rec Accts'!C9+'Parks and Rec Accts'!C10</f>
        <v>0</v>
      </c>
      <c r="D7" s="97"/>
      <c r="E7" s="97">
        <f>C7-D7</f>
        <v>0</v>
      </c>
      <c r="F7" s="97">
        <f>'Parks and Rec Accts'!F9+'Parks and Rec Accts'!F10</f>
        <v>0</v>
      </c>
      <c r="G7" s="97">
        <f>F7-C7</f>
        <v>0</v>
      </c>
      <c r="H7" s="100" t="e">
        <f>F7/C7</f>
        <v>#DIV/0!</v>
      </c>
      <c r="I7" s="100" t="e">
        <f>F7/D7</f>
        <v>#DIV/0!</v>
      </c>
      <c r="J7" s="109"/>
      <c r="K7" s="91"/>
      <c r="L7" s="91"/>
      <c r="M7" s="110"/>
      <c r="N7" s="91"/>
      <c r="O7" s="91"/>
      <c r="P7" s="91"/>
      <c r="Q7" s="91"/>
      <c r="R7" s="91"/>
      <c r="S7" s="91"/>
      <c r="T7" s="91"/>
    </row>
    <row r="8" spans="1:20" ht="15" x14ac:dyDescent="0.25">
      <c r="A8" s="144"/>
      <c r="B8" s="173" t="s">
        <v>902</v>
      </c>
      <c r="C8" s="97">
        <f>'Parks and Rec Accts'!C30-'Parks and Rec Accts'!C27-'Parks and Rec Accts'!C10</f>
        <v>-384207</v>
      </c>
      <c r="D8" s="97">
        <v>-382382</v>
      </c>
      <c r="E8" s="97">
        <f>C8-D8</f>
        <v>-1825</v>
      </c>
      <c r="F8" s="97">
        <f>'Parks and Rec Accts'!F11+'Parks and Rec Accts'!F12+'Parks and Rec Accts'!F13+'Parks and Rec Accts'!F14+'Parks and Rec Accts'!F15+'Parks and Rec Accts'!F16+'Parks and Rec Accts'!F17+'Parks and Rec Accts'!F18+'Parks and Rec Accts'!F19+'Parks and Rec Accts'!F20+'Parks and Rec Accts'!F21+'Parks and Rec Accts'!F22+'Parks and Rec Accts'!F23+'Parks and Rec Accts'!F24+'Parks and Rec Accts'!F25+'Parks and Rec Accts'!F26</f>
        <v>-342193</v>
      </c>
      <c r="G8" s="97">
        <f>F8-C8</f>
        <v>42014</v>
      </c>
      <c r="H8" s="100">
        <f t="shared" ref="H8:H28" si="0">F8/C8</f>
        <v>0.89064748950435568</v>
      </c>
      <c r="I8" s="100">
        <f t="shared" ref="I8:I28" si="1">F8/D8</f>
        <v>0.89489829542185562</v>
      </c>
      <c r="J8" s="112"/>
      <c r="K8" s="96"/>
      <c r="L8" s="194"/>
      <c r="M8" s="113"/>
      <c r="N8" s="95"/>
      <c r="O8" s="91"/>
      <c r="P8" s="91"/>
      <c r="Q8" s="91"/>
      <c r="R8" s="91"/>
      <c r="S8" s="91"/>
      <c r="T8" s="91"/>
    </row>
    <row r="9" spans="1:20" ht="15" x14ac:dyDescent="0.25">
      <c r="A9" s="144"/>
      <c r="B9" s="173"/>
      <c r="C9" s="97"/>
      <c r="D9" s="97"/>
      <c r="E9" s="97"/>
      <c r="F9" s="97"/>
      <c r="G9" s="97"/>
      <c r="H9" s="100"/>
      <c r="I9" s="100"/>
      <c r="J9" s="112"/>
      <c r="K9" s="96"/>
      <c r="L9" s="194"/>
      <c r="M9" s="113"/>
      <c r="N9" s="95"/>
      <c r="O9" s="91"/>
      <c r="P9" s="91"/>
      <c r="Q9" s="91"/>
      <c r="R9" s="91"/>
      <c r="S9" s="91"/>
      <c r="T9" s="91"/>
    </row>
    <row r="10" spans="1:20" ht="15" x14ac:dyDescent="0.25">
      <c r="A10" s="144"/>
      <c r="B10" s="173"/>
      <c r="C10" s="97"/>
      <c r="D10" s="97"/>
      <c r="E10" s="97"/>
      <c r="F10" s="97"/>
      <c r="G10" s="97"/>
      <c r="H10" s="100"/>
      <c r="I10" s="100"/>
      <c r="J10" s="112"/>
      <c r="K10" s="96"/>
      <c r="L10" s="96"/>
      <c r="M10" s="113"/>
      <c r="N10" s="95"/>
      <c r="O10" s="91"/>
      <c r="P10" s="91"/>
      <c r="Q10" s="91"/>
      <c r="R10" s="91"/>
      <c r="S10" s="91"/>
      <c r="T10" s="91"/>
    </row>
    <row r="11" spans="1:20" ht="15" x14ac:dyDescent="0.25">
      <c r="A11" s="145"/>
      <c r="B11" s="173" t="s">
        <v>320</v>
      </c>
      <c r="C11" s="97">
        <f>'Parks and Rec Accts'!C27</f>
        <v>-243800</v>
      </c>
      <c r="D11" s="97">
        <v>-243800</v>
      </c>
      <c r="E11" s="97">
        <f>C11-D11</f>
        <v>0</v>
      </c>
      <c r="F11" s="97">
        <f>'Parks and Rec Accts'!F27</f>
        <v>-209222</v>
      </c>
      <c r="G11" s="97">
        <f>F11-C11</f>
        <v>34578</v>
      </c>
      <c r="H11" s="100">
        <f t="shared" si="0"/>
        <v>0.85817063166529939</v>
      </c>
      <c r="I11" s="100">
        <f t="shared" si="1"/>
        <v>0.85817063166529939</v>
      </c>
      <c r="J11" s="109"/>
      <c r="K11" s="91"/>
      <c r="L11" s="91"/>
      <c r="M11" s="110"/>
      <c r="N11" s="91"/>
      <c r="O11" s="91"/>
      <c r="P11" s="91"/>
      <c r="Q11" s="91"/>
      <c r="R11" s="91"/>
      <c r="S11" s="91"/>
      <c r="T11" s="91"/>
    </row>
    <row r="12" spans="1:20" ht="15" x14ac:dyDescent="0.25">
      <c r="A12" s="145"/>
      <c r="B12" s="173" t="s">
        <v>208</v>
      </c>
      <c r="C12" s="97">
        <v>0</v>
      </c>
      <c r="D12" s="97"/>
      <c r="E12" s="97"/>
      <c r="F12" s="97">
        <f>'Parks and Rec Accts'!F28</f>
        <v>-27000</v>
      </c>
      <c r="G12" s="97">
        <f>F12-C12</f>
        <v>-27000</v>
      </c>
      <c r="H12" s="100" t="e">
        <f t="shared" si="0"/>
        <v>#DIV/0!</v>
      </c>
      <c r="I12" s="100" t="e">
        <f t="shared" si="1"/>
        <v>#DIV/0!</v>
      </c>
      <c r="J12" s="109"/>
      <c r="K12" s="91"/>
      <c r="L12" s="91"/>
      <c r="M12" s="110"/>
      <c r="N12" s="91"/>
      <c r="O12" s="91"/>
      <c r="P12" s="91"/>
      <c r="Q12" s="91"/>
      <c r="R12" s="91"/>
      <c r="S12" s="91"/>
      <c r="T12" s="91"/>
    </row>
    <row r="13" spans="1:20" ht="15" x14ac:dyDescent="0.25">
      <c r="A13" s="143"/>
      <c r="B13" s="173"/>
      <c r="C13" s="97"/>
      <c r="D13" s="97"/>
      <c r="E13" s="97"/>
      <c r="F13" s="97"/>
      <c r="G13" s="97"/>
      <c r="H13" s="100"/>
      <c r="I13" s="100"/>
      <c r="J13" s="109"/>
      <c r="K13" s="91"/>
      <c r="L13" s="91"/>
      <c r="M13" s="110"/>
      <c r="N13" s="91"/>
      <c r="O13" s="91"/>
      <c r="P13" s="91"/>
      <c r="Q13" s="91"/>
      <c r="R13" s="91"/>
      <c r="S13" s="91"/>
      <c r="T13" s="91"/>
    </row>
    <row r="14" spans="1:20" ht="15" x14ac:dyDescent="0.25">
      <c r="A14" s="144" t="s">
        <v>49</v>
      </c>
      <c r="B14" s="173"/>
      <c r="C14" s="97">
        <f>SUM(C7:C13)</f>
        <v>-628007</v>
      </c>
      <c r="D14" s="97">
        <f>SUM(D7:D12)</f>
        <v>-626182</v>
      </c>
      <c r="E14" s="97">
        <f>SUM(E7:E11)</f>
        <v>-1825</v>
      </c>
      <c r="F14" s="97">
        <f>SUM(F7:F13)</f>
        <v>-578415</v>
      </c>
      <c r="G14" s="97">
        <f>SUM(G7:G13)</f>
        <v>49592</v>
      </c>
      <c r="H14" s="100">
        <f t="shared" si="0"/>
        <v>0.9210327273422112</v>
      </c>
      <c r="I14" s="100">
        <f t="shared" si="1"/>
        <v>0.92371706628424322</v>
      </c>
      <c r="J14" s="109"/>
      <c r="K14" s="91"/>
      <c r="L14" s="91"/>
      <c r="M14" s="110"/>
      <c r="N14" s="91"/>
      <c r="O14" s="91"/>
      <c r="P14" s="91"/>
      <c r="Q14" s="91"/>
      <c r="R14" s="91"/>
      <c r="S14" s="91"/>
      <c r="T14" s="91"/>
    </row>
    <row r="15" spans="1:20" ht="15" x14ac:dyDescent="0.25">
      <c r="A15" s="184"/>
      <c r="B15" s="174"/>
      <c r="C15" s="155"/>
      <c r="D15" s="155"/>
      <c r="E15" s="155"/>
      <c r="F15" s="155"/>
      <c r="G15" s="155" t="s">
        <v>598</v>
      </c>
      <c r="H15" s="156"/>
      <c r="I15" s="156"/>
      <c r="J15" s="165"/>
      <c r="K15" s="166"/>
      <c r="L15" s="166"/>
      <c r="M15" s="167"/>
      <c r="N15" s="91"/>
      <c r="O15" s="91"/>
      <c r="P15" s="91"/>
      <c r="Q15" s="91"/>
      <c r="R15" s="91"/>
      <c r="S15" s="91"/>
      <c r="T15" s="91"/>
    </row>
    <row r="16" spans="1:20" ht="15" x14ac:dyDescent="0.25">
      <c r="A16" s="158"/>
      <c r="B16" s="172"/>
      <c r="C16" s="151"/>
      <c r="D16" s="151"/>
      <c r="E16" s="151"/>
      <c r="F16" s="151"/>
      <c r="G16" s="151"/>
      <c r="H16" s="159"/>
      <c r="I16" s="159"/>
      <c r="J16" s="161"/>
      <c r="K16" s="162"/>
      <c r="L16" s="162"/>
      <c r="M16" s="163"/>
      <c r="N16" s="91"/>
      <c r="O16" s="91"/>
      <c r="P16" s="91"/>
      <c r="Q16" s="91"/>
      <c r="R16" s="91"/>
      <c r="S16" s="91"/>
      <c r="T16" s="91"/>
    </row>
    <row r="17" spans="1:21" ht="15" x14ac:dyDescent="0.25">
      <c r="A17" s="144" t="s">
        <v>50</v>
      </c>
      <c r="B17" s="173"/>
      <c r="C17" s="97"/>
      <c r="D17" s="97"/>
      <c r="E17" s="97"/>
      <c r="F17" s="97"/>
      <c r="G17" s="97"/>
      <c r="H17" s="100"/>
      <c r="I17" s="100"/>
      <c r="J17" s="109"/>
      <c r="K17" s="91"/>
      <c r="L17" s="91"/>
      <c r="M17" s="110"/>
      <c r="N17" s="91"/>
      <c r="O17" s="91"/>
      <c r="P17" s="91"/>
      <c r="Q17" s="91"/>
      <c r="R17" s="91"/>
      <c r="S17" s="91"/>
      <c r="T17" s="91"/>
    </row>
    <row r="18" spans="1:21" ht="15" x14ac:dyDescent="0.25">
      <c r="A18" s="143"/>
      <c r="B18" s="173"/>
      <c r="C18" s="97"/>
      <c r="D18" s="97"/>
      <c r="E18" s="97"/>
      <c r="F18" s="97"/>
      <c r="G18" s="97"/>
      <c r="H18" s="100"/>
      <c r="I18" s="100"/>
      <c r="J18" s="109"/>
      <c r="K18" s="91"/>
      <c r="L18" s="91"/>
      <c r="M18" s="110"/>
      <c r="N18" s="91"/>
      <c r="O18" s="91"/>
      <c r="P18" s="91"/>
      <c r="Q18" s="91"/>
      <c r="R18" s="91"/>
      <c r="S18" s="91"/>
      <c r="T18" s="91"/>
    </row>
    <row r="19" spans="1:21" ht="15" x14ac:dyDescent="0.25">
      <c r="A19" s="181"/>
      <c r="B19" s="173" t="s">
        <v>903</v>
      </c>
      <c r="C19" s="97">
        <f>'Parks and Rec Accts'!C34+'Parks and Rec Accts'!C35+'Parks and Rec Accts'!C36+'Parks and Rec Accts'!C37+'Parks and Rec Accts'!C38+'Parks and Rec Accts'!C39+'Parks and Rec Accts'!C40+'Parks and Rec Accts'!C41+'Parks and Rec Accts'!C42+'Parks and Rec Accts'!C78+'Parks and Rec Accts'!C79+'Parks and Rec Accts'!C80+'Parks and Rec Accts'!C81+'Parks and Rec Accts'!C85+'Parks and Rec Accts'!C44</f>
        <v>777099</v>
      </c>
      <c r="D19" s="97">
        <f>523400+254699</f>
        <v>778099</v>
      </c>
      <c r="E19" s="97">
        <f t="shared" ref="E19:E28" si="2">C19-D19</f>
        <v>-1000</v>
      </c>
      <c r="F19" s="97">
        <f>'Parks and Rec Accts'!F34+'Parks and Rec Accts'!F35+'Parks and Rec Accts'!F36+'Parks and Rec Accts'!F37+'Parks and Rec Accts'!F38+'Parks and Rec Accts'!F39+'Parks and Rec Accts'!F40+'Parks and Rec Accts'!F41+'Parks and Rec Accts'!F42+'Parks and Rec Accts'!F44+'Parks and Rec Accts'!F78+'Parks and Rec Accts'!F79+'Parks and Rec Accts'!F80+'Parks and Rec Accts'!F81+'Parks and Rec Accts'!F85</f>
        <v>874830</v>
      </c>
      <c r="G19" s="97">
        <f t="shared" ref="G19:G28" si="3">F19-C19</f>
        <v>97731</v>
      </c>
      <c r="H19" s="100">
        <f t="shared" si="0"/>
        <v>1.1257638988082599</v>
      </c>
      <c r="I19" s="100">
        <f t="shared" si="1"/>
        <v>1.1243170856150695</v>
      </c>
      <c r="J19" s="112"/>
      <c r="K19" s="96"/>
      <c r="L19" s="91"/>
      <c r="M19" s="110"/>
      <c r="N19" s="91"/>
      <c r="O19" s="91"/>
      <c r="P19" s="91"/>
      <c r="Q19" s="91"/>
      <c r="R19" s="91"/>
      <c r="S19" s="91"/>
      <c r="T19" s="91"/>
    </row>
    <row r="20" spans="1:21" ht="15" x14ac:dyDescent="0.25">
      <c r="A20" s="182"/>
      <c r="B20" s="173" t="s">
        <v>904</v>
      </c>
      <c r="C20" s="97">
        <f>'Parks and Rec Accts'!C43+'Parks and Rec Accts'!C45+'Parks and Rec Accts'!C46</f>
        <v>8600</v>
      </c>
      <c r="D20" s="97">
        <f>3200+5400</f>
        <v>8600</v>
      </c>
      <c r="E20" s="97">
        <f t="shared" si="2"/>
        <v>0</v>
      </c>
      <c r="F20" s="97">
        <f>'Parks and Rec Accts'!F43+'Parks and Rec Accts'!F45+'Parks and Rec Accts'!F46</f>
        <v>10470</v>
      </c>
      <c r="G20" s="97">
        <f t="shared" si="3"/>
        <v>1870</v>
      </c>
      <c r="H20" s="100">
        <f t="shared" si="0"/>
        <v>1.2174418604651163</v>
      </c>
      <c r="I20" s="100">
        <f t="shared" si="1"/>
        <v>1.2174418604651163</v>
      </c>
      <c r="J20" s="109"/>
      <c r="K20" s="91"/>
      <c r="L20" s="91"/>
      <c r="M20" s="110"/>
      <c r="N20" s="91"/>
      <c r="O20" s="91"/>
      <c r="P20" s="91"/>
      <c r="Q20" s="91"/>
      <c r="R20" s="91"/>
      <c r="S20" s="91"/>
      <c r="T20" s="91"/>
    </row>
    <row r="21" spans="1:21" ht="15" x14ac:dyDescent="0.25">
      <c r="A21" s="195"/>
      <c r="B21" s="173" t="s">
        <v>905</v>
      </c>
      <c r="C21" s="97">
        <f>'Parks and Rec Accts'!C47+'Parks and Rec Accts'!C48+'Parks and Rec Accts'!C49+'Parks and Rec Accts'!C50+'Parks and Rec Accts'!C51+'Parks and Rec Accts'!C52+'Parks and Rec Accts'!C53+'Parks and Rec Accts'!C54+'Parks and Rec Accts'!C73+'Parks and Rec Accts'!C74+'Parks and Rec Accts'!C90+'Parks and Rec Accts'!C91+'Parks and Rec Accts'!C89+'Parks and Rec Accts'!C88+'Parks and Rec Accts'!C92+'Parks and Rec Accts'!C95+'Parks and Rec Accts'!C96+'Parks and Rec Accts'!C97+'Parks and Rec Accts'!C98+'Parks and Rec Accts'!C99</f>
        <v>333984</v>
      </c>
      <c r="D21" s="97">
        <f>204270+147714</f>
        <v>351984</v>
      </c>
      <c r="E21" s="97">
        <f t="shared" si="2"/>
        <v>-18000</v>
      </c>
      <c r="F21" s="97">
        <f>'Parks and Rec Accts'!F47+'Parks and Rec Accts'!F48+'Parks and Rec Accts'!F49+'Parks and Rec Accts'!F50+'Parks and Rec Accts'!F51+'Parks and Rec Accts'!F52+'Parks and Rec Accts'!F53+'Parks and Rec Accts'!F54+'Parks and Rec Accts'!F73+'Parks and Rec Accts'!F74+'Parks and Rec Accts'!F90+'Parks and Rec Accts'!F91+'Parks and Rec Accts'!F89+'Parks and Rec Accts'!F88+'Parks and Rec Accts'!F92+'Parks and Rec Accts'!F95+'Parks and Rec Accts'!F96+'Parks and Rec Accts'!F97+'Parks and Rec Accts'!F98+'Parks and Rec Accts'!F99</f>
        <v>341981</v>
      </c>
      <c r="G21" s="97">
        <f t="shared" si="3"/>
        <v>7997</v>
      </c>
      <c r="H21" s="100">
        <f t="shared" si="0"/>
        <v>1.0239442608029128</v>
      </c>
      <c r="I21" s="100">
        <f t="shared" si="1"/>
        <v>0.97158109459520892</v>
      </c>
      <c r="J21" s="112"/>
      <c r="K21" s="91"/>
      <c r="L21" s="91"/>
      <c r="M21" s="110"/>
      <c r="N21" s="91"/>
      <c r="O21" s="91"/>
      <c r="P21" s="91"/>
      <c r="Q21" s="91"/>
      <c r="R21" s="91"/>
      <c r="S21" s="91"/>
      <c r="T21" s="91"/>
    </row>
    <row r="22" spans="1:21" ht="15" x14ac:dyDescent="0.25">
      <c r="A22" s="181"/>
      <c r="B22" s="173" t="s">
        <v>821</v>
      </c>
      <c r="C22" s="97">
        <f>'Parks and Rec Accts'!C55+'Parks and Rec Accts'!C56+'Parks and Rec Accts'!C57+'Parks and Rec Accts'!C58+'Parks and Rec Accts'!C59+'Parks and Rec Accts'!C60+'Parks and Rec Accts'!C61+'Parks and Rec Accts'!C67+'Parks and Rec Accts'!C75+'Parks and Rec Accts'!C76+'Parks and Rec Accts'!C77+'Parks and Rec Accts'!C82+'Parks and Rec Accts'!C86+'Parks and Rec Accts'!C93+'Parks and Rec Accts'!C100+'Parks and Rec Accts'!C101+'Parks and Rec Accts'!C102</f>
        <v>110185</v>
      </c>
      <c r="D22" s="97">
        <f>68881+48704</f>
        <v>117585</v>
      </c>
      <c r="E22" s="97">
        <f t="shared" si="2"/>
        <v>-7400</v>
      </c>
      <c r="F22" s="97">
        <f>'Parks and Rec Accts'!F55+'Parks and Rec Accts'!F56+'Parks and Rec Accts'!F58+'Parks and Rec Accts'!F57+'Parks and Rec Accts'!F59+'Parks and Rec Accts'!F60+'Parks and Rec Accts'!F61+'Parks and Rec Accts'!F67+'Parks and Rec Accts'!F75+'Parks and Rec Accts'!F76+'Parks and Rec Accts'!F77+'Parks and Rec Accts'!F82+'Parks and Rec Accts'!F86+'Parks and Rec Accts'!F93+'Parks and Rec Accts'!F100+'Parks and Rec Accts'!F101+'Parks and Rec Accts'!F102</f>
        <v>112475</v>
      </c>
      <c r="G22" s="97">
        <f t="shared" si="3"/>
        <v>2290</v>
      </c>
      <c r="H22" s="100">
        <f t="shared" si="0"/>
        <v>1.0207832282071063</v>
      </c>
      <c r="I22" s="100">
        <f t="shared" si="1"/>
        <v>0.95654207594506102</v>
      </c>
      <c r="J22" s="112"/>
      <c r="K22" s="96"/>
      <c r="L22" s="96"/>
      <c r="M22" s="113"/>
      <c r="N22" s="91"/>
      <c r="O22" s="91"/>
      <c r="P22" s="91"/>
      <c r="Q22" s="91"/>
      <c r="R22" s="91"/>
      <c r="S22" s="91"/>
      <c r="T22" s="91"/>
    </row>
    <row r="23" spans="1:21" ht="15" x14ac:dyDescent="0.25">
      <c r="A23" s="145"/>
      <c r="B23" s="173" t="s">
        <v>906</v>
      </c>
      <c r="C23" s="97">
        <f>'Parks and Rec Accts'!C62+'Parks and Rec Accts'!C63+'Parks and Rec Accts'!C64+'Parks and Rec Accts'!C65+'Parks and Rec Accts'!C66+'Parks and Rec Accts'!C68+'Parks and Rec Accts'!C69+'Parks and Rec Accts'!C83+'Parks and Rec Accts'!C84+'Parks and Rec Accts'!C103</f>
        <v>74715</v>
      </c>
      <c r="D23" s="97">
        <f>52525+39190</f>
        <v>91715</v>
      </c>
      <c r="E23" s="97">
        <f t="shared" si="2"/>
        <v>-17000</v>
      </c>
      <c r="F23" s="97">
        <f>'Parks and Rec Accts'!F62+'Parks and Rec Accts'!F63+'Parks and Rec Accts'!F64+'Parks and Rec Accts'!F65+'Parks and Rec Accts'!F66+'Parks and Rec Accts'!F68+'Parks and Rec Accts'!F69+'Parks and Rec Accts'!F83+'Parks and Rec Accts'!F84+'Parks and Rec Accts'!F103</f>
        <v>68683</v>
      </c>
      <c r="G23" s="97">
        <f t="shared" si="3"/>
        <v>-6032</v>
      </c>
      <c r="H23" s="100">
        <f t="shared" si="0"/>
        <v>0.91926654620892723</v>
      </c>
      <c r="I23" s="100">
        <f t="shared" si="1"/>
        <v>0.74887422995148012</v>
      </c>
      <c r="J23" s="112"/>
      <c r="K23" s="96"/>
      <c r="L23" s="96"/>
      <c r="M23" s="110"/>
      <c r="N23" s="91"/>
      <c r="O23" s="91"/>
      <c r="P23" s="91"/>
      <c r="Q23" s="91"/>
      <c r="R23" s="91"/>
      <c r="S23" s="91"/>
      <c r="T23" s="91"/>
    </row>
    <row r="24" spans="1:21" ht="15" x14ac:dyDescent="0.25">
      <c r="A24" s="146"/>
      <c r="B24" s="173" t="s">
        <v>111</v>
      </c>
      <c r="C24" s="97">
        <f>'Parks and Rec Accts'!C70</f>
        <v>185800</v>
      </c>
      <c r="D24" s="97">
        <v>188475</v>
      </c>
      <c r="E24" s="97">
        <f t="shared" si="2"/>
        <v>-2675</v>
      </c>
      <c r="F24" s="97">
        <f>'Parks and Rec Accts'!F70</f>
        <v>202422</v>
      </c>
      <c r="G24" s="97">
        <f t="shared" si="3"/>
        <v>16622</v>
      </c>
      <c r="H24" s="100">
        <f t="shared" si="0"/>
        <v>1.0894617868675995</v>
      </c>
      <c r="I24" s="100">
        <f t="shared" si="1"/>
        <v>1.0739992041384798</v>
      </c>
      <c r="J24" s="112"/>
      <c r="K24" s="96"/>
      <c r="L24" s="96"/>
      <c r="M24" s="113"/>
      <c r="U24" s="94"/>
    </row>
    <row r="25" spans="1:21" ht="15" x14ac:dyDescent="0.25">
      <c r="A25" s="146"/>
      <c r="B25" s="173"/>
      <c r="C25" s="97"/>
      <c r="D25" s="97"/>
      <c r="E25" s="97"/>
      <c r="F25" s="97"/>
      <c r="G25" s="97"/>
      <c r="H25" s="100"/>
      <c r="I25" s="100"/>
      <c r="J25" s="112"/>
      <c r="K25" s="96"/>
      <c r="L25" s="96"/>
      <c r="M25" s="113"/>
      <c r="Q25" s="94"/>
      <c r="R25" s="94"/>
      <c r="S25" s="94"/>
      <c r="T25" s="94"/>
    </row>
    <row r="26" spans="1:21" ht="15" x14ac:dyDescent="0.25">
      <c r="A26" s="146"/>
      <c r="B26" s="173"/>
      <c r="C26" s="97"/>
      <c r="D26" s="97"/>
      <c r="E26" s="97"/>
      <c r="F26" s="97"/>
      <c r="G26" s="97"/>
      <c r="H26" s="100"/>
      <c r="I26" s="100"/>
      <c r="J26" s="112"/>
      <c r="K26" s="96"/>
      <c r="L26" s="96"/>
      <c r="M26" s="113"/>
      <c r="N26" s="94"/>
      <c r="O26" s="94"/>
      <c r="P26" s="94"/>
      <c r="Q26" s="94"/>
      <c r="R26" s="94"/>
      <c r="S26" s="94"/>
      <c r="T26" s="94"/>
    </row>
    <row r="27" spans="1:21" ht="15" x14ac:dyDescent="0.25">
      <c r="A27" s="146"/>
      <c r="B27" s="173"/>
      <c r="C27" s="97"/>
      <c r="D27" s="97"/>
      <c r="E27" s="97"/>
      <c r="F27" s="97"/>
      <c r="G27" s="97"/>
      <c r="H27" s="100"/>
      <c r="I27" s="100"/>
      <c r="J27" s="112"/>
      <c r="K27" s="96"/>
      <c r="L27" s="96"/>
      <c r="M27" s="113"/>
      <c r="N27" s="94"/>
      <c r="O27" s="94"/>
      <c r="P27" s="94"/>
      <c r="Q27" s="94"/>
      <c r="R27" s="94"/>
      <c r="S27" s="94"/>
      <c r="T27" s="94"/>
    </row>
    <row r="28" spans="1:21" ht="15" x14ac:dyDescent="0.25">
      <c r="A28" s="146"/>
      <c r="B28" s="173" t="s">
        <v>769</v>
      </c>
      <c r="C28" s="97">
        <f>'Parks and Rec Accts'!C71</f>
        <v>98000</v>
      </c>
      <c r="D28" s="97">
        <v>98000</v>
      </c>
      <c r="E28" s="97">
        <f t="shared" si="2"/>
        <v>0</v>
      </c>
      <c r="F28" s="97">
        <f>'Parks and Rec Accts'!F71</f>
        <v>41400</v>
      </c>
      <c r="G28" s="97">
        <f t="shared" si="3"/>
        <v>-56600</v>
      </c>
      <c r="H28" s="100">
        <f t="shared" si="0"/>
        <v>0.42244897959183675</v>
      </c>
      <c r="I28" s="100">
        <f t="shared" si="1"/>
        <v>0.42244897959183675</v>
      </c>
      <c r="J28" s="112"/>
      <c r="K28" s="96"/>
      <c r="L28" s="96"/>
      <c r="M28" s="113"/>
      <c r="P28" s="91"/>
      <c r="Q28" s="91"/>
      <c r="R28" s="91"/>
      <c r="S28" s="91"/>
      <c r="T28" s="91"/>
    </row>
    <row r="29" spans="1:21" ht="15" x14ac:dyDescent="0.25">
      <c r="A29" s="143"/>
      <c r="B29" s="173"/>
      <c r="C29" s="97"/>
      <c r="D29" s="97"/>
      <c r="E29" s="97"/>
      <c r="F29" s="97"/>
      <c r="G29" s="97"/>
      <c r="H29" s="100"/>
      <c r="I29" s="100"/>
      <c r="J29" s="112"/>
      <c r="K29" s="91"/>
      <c r="L29" s="91"/>
      <c r="M29" s="110"/>
      <c r="N29" s="91"/>
      <c r="O29" s="91"/>
      <c r="P29" s="91"/>
      <c r="Q29" s="91"/>
      <c r="R29" s="91"/>
      <c r="S29" s="91"/>
      <c r="T29" s="91"/>
    </row>
    <row r="30" spans="1:21" ht="15" x14ac:dyDescent="0.25">
      <c r="A30" s="143"/>
      <c r="B30" s="173"/>
      <c r="C30" s="97"/>
      <c r="D30" s="97"/>
      <c r="E30" s="97"/>
      <c r="F30" s="97"/>
      <c r="G30" s="97"/>
      <c r="H30" s="100"/>
      <c r="I30" s="100"/>
      <c r="J30" s="112"/>
      <c r="K30" s="91"/>
      <c r="L30" s="91"/>
      <c r="M30" s="110"/>
      <c r="N30" s="91"/>
      <c r="O30" s="91"/>
      <c r="P30" s="91"/>
      <c r="Q30" s="91"/>
      <c r="R30" s="91"/>
      <c r="S30" s="91"/>
      <c r="T30" s="91"/>
    </row>
    <row r="31" spans="1:21" ht="16.8" x14ac:dyDescent="0.25">
      <c r="A31" s="146" t="s">
        <v>162</v>
      </c>
      <c r="B31" s="173"/>
      <c r="C31" s="102">
        <f>SUM(C19:C29)</f>
        <v>1588383</v>
      </c>
      <c r="D31" s="102">
        <f>SUM(D19:D29)</f>
        <v>1634458</v>
      </c>
      <c r="E31" s="102">
        <f>SUM(E19:E29)</f>
        <v>-46075</v>
      </c>
      <c r="F31" s="102">
        <f>SUM(F19:F29)</f>
        <v>1652261</v>
      </c>
      <c r="G31" s="102">
        <f>SUM(G19:G28)</f>
        <v>63878</v>
      </c>
      <c r="H31" s="100">
        <f>F31/C31</f>
        <v>1.0402157414175297</v>
      </c>
      <c r="I31" s="100">
        <f>F31/D31</f>
        <v>1.0108922957946915</v>
      </c>
      <c r="J31" s="109"/>
      <c r="K31" s="91"/>
      <c r="L31" s="91"/>
      <c r="M31" s="110"/>
      <c r="N31" s="91"/>
      <c r="O31" s="91"/>
      <c r="P31" s="91"/>
      <c r="Q31" s="91"/>
      <c r="R31" s="91"/>
      <c r="S31" s="91"/>
      <c r="T31" s="91"/>
    </row>
    <row r="32" spans="1:21" ht="16.8" x14ac:dyDescent="0.25">
      <c r="A32" s="164"/>
      <c r="B32" s="174"/>
      <c r="C32" s="169"/>
      <c r="D32" s="169"/>
      <c r="E32" s="169"/>
      <c r="F32" s="169"/>
      <c r="G32" s="169"/>
      <c r="H32" s="156"/>
      <c r="I32" s="156"/>
      <c r="J32" s="165"/>
      <c r="K32" s="166"/>
      <c r="L32" s="166"/>
      <c r="M32" s="167"/>
      <c r="N32" s="91"/>
      <c r="O32" s="91"/>
      <c r="P32" s="91"/>
      <c r="Q32" s="91"/>
      <c r="R32" s="91"/>
      <c r="S32" s="91"/>
      <c r="T32" s="91"/>
    </row>
    <row r="33" spans="1:20" ht="15" x14ac:dyDescent="0.25">
      <c r="A33" s="143"/>
      <c r="B33" s="173"/>
      <c r="C33" s="97"/>
      <c r="D33" s="97"/>
      <c r="E33" s="97"/>
      <c r="F33" s="97"/>
      <c r="G33" s="97"/>
      <c r="H33" s="100"/>
      <c r="I33" s="196"/>
      <c r="J33" s="109"/>
      <c r="K33" s="91"/>
      <c r="L33" s="91"/>
      <c r="M33" s="110"/>
      <c r="N33" s="91"/>
      <c r="O33" s="91"/>
      <c r="P33" s="91"/>
      <c r="Q33" s="91"/>
      <c r="R33" s="91"/>
      <c r="S33" s="91"/>
      <c r="T33" s="91"/>
    </row>
    <row r="34" spans="1:20" ht="16.8" x14ac:dyDescent="0.25">
      <c r="A34" s="146" t="s">
        <v>166</v>
      </c>
      <c r="B34" s="173"/>
      <c r="C34" s="103">
        <f>C14+C31</f>
        <v>960376</v>
      </c>
      <c r="D34" s="103">
        <f>D14+D31</f>
        <v>1008276</v>
      </c>
      <c r="E34" s="103">
        <f>E14+E31</f>
        <v>-47900</v>
      </c>
      <c r="F34" s="103">
        <f>F14+F31</f>
        <v>1073846</v>
      </c>
      <c r="G34" s="103">
        <f>G14+G31</f>
        <v>113470</v>
      </c>
      <c r="H34" s="100">
        <f>F34/C34</f>
        <v>1.1181516406074288</v>
      </c>
      <c r="I34" s="197">
        <f>F34/D34</f>
        <v>1.0650317968492753</v>
      </c>
      <c r="J34" s="109"/>
      <c r="K34" s="91"/>
      <c r="L34" s="91"/>
      <c r="M34" s="110"/>
      <c r="N34" s="91"/>
      <c r="O34" s="91"/>
      <c r="P34" s="91"/>
      <c r="Q34" s="91"/>
      <c r="R34" s="91"/>
      <c r="S34" s="91"/>
      <c r="T34" s="91"/>
    </row>
    <row r="35" spans="1:20" x14ac:dyDescent="0.25">
      <c r="A35" s="148"/>
      <c r="B35" s="149"/>
      <c r="C35" s="198"/>
      <c r="D35" s="198"/>
      <c r="E35" s="198"/>
      <c r="F35" s="198"/>
      <c r="G35" s="198"/>
      <c r="H35" s="199"/>
      <c r="I35" s="199"/>
      <c r="J35" s="148"/>
      <c r="K35" s="149"/>
      <c r="L35" s="149"/>
      <c r="M35" s="137"/>
    </row>
    <row r="36" spans="1:20" x14ac:dyDescent="0.25">
      <c r="G36" s="89"/>
    </row>
    <row r="37" spans="1:20" x14ac:dyDescent="0.25">
      <c r="H37" s="89"/>
    </row>
  </sheetData>
  <mergeCells count="1">
    <mergeCell ref="J3:M3"/>
  </mergeCells>
  <conditionalFormatting sqref="A6:A7 A14 A17 A19:A23">
    <cfRule type="expression" dxfId="17" priority="4" stopIfTrue="1">
      <formula>AND(COUNTIF($A$1:$A$306, A6)&gt;1,NOT(ISBLANK(A6)))</formula>
    </cfRule>
  </conditionalFormatting>
  <conditionalFormatting sqref="A6:A7 A18:A23 A13 A15:A16">
    <cfRule type="expression" dxfId="16" priority="6" stopIfTrue="1">
      <formula>AND(COUNTIF($A$1:$A$302, A6)&gt;1,NOT(ISBLANK(A6)))</formula>
    </cfRule>
  </conditionalFormatting>
  <conditionalFormatting sqref="A8:A10">
    <cfRule type="expression" dxfId="15" priority="7" stopIfTrue="1">
      <formula>AND(COUNTIF($A$1:$A$304, A8)&gt;1,NOT(ISBLANK(A8)))</formula>
    </cfRule>
  </conditionalFormatting>
  <conditionalFormatting sqref="A11:A12">
    <cfRule type="expression" dxfId="14" priority="5" stopIfTrue="1">
      <formula>AND(COUNTIF($A$1:$A$297, A11)&gt;1,NOT(ISBLANK(A11)))</formula>
    </cfRule>
    <cfRule type="expression" dxfId="13" priority="8" stopIfTrue="1">
      <formula>AND(COUNTIF($A$1:$A$293, A11)&gt;1,NOT(ISBLANK(A11)))</formula>
    </cfRule>
  </conditionalFormatting>
  <conditionalFormatting sqref="A24:A28 A8:A10">
    <cfRule type="expression" dxfId="12" priority="3" stopIfTrue="1">
      <formula>AND(COUNTIF($A$1:$A$300, A8)&gt;1,NOT(ISBLANK(A8)))</formula>
    </cfRule>
  </conditionalFormatting>
  <conditionalFormatting sqref="A24:A28">
    <cfRule type="expression" dxfId="11" priority="2" stopIfTrue="1">
      <formula>AND(COUNTIF($A$1:$A$295, A24)&gt;1,NOT(ISBLANK(A24)))</formula>
    </cfRule>
  </conditionalFormatting>
  <conditionalFormatting sqref="A31:A32 A34">
    <cfRule type="expression" dxfId="10" priority="1" stopIfTrue="1">
      <formula>AND(COUNTIF($A$1:$A$303, A31)&gt;1,NOT(ISBLANK(A31)))</formula>
    </cfRule>
  </conditionalFormatting>
  <pageMargins left="0.7" right="0.7" top="0.75" bottom="0.75" header="0.3" footer="0.3"/>
  <pageSetup paperSize="5" scale="70" fitToWidth="0" fitToHeight="0" orientation="landscape" verticalDpi="1200" r:id="rId1"/>
  <rowBreaks count="1" manualBreakCount="1">
    <brk id="23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M26"/>
  <sheetViews>
    <sheetView topLeftCell="A3" zoomScale="90" zoomScaleNormal="90" workbookViewId="0">
      <selection activeCell="F7" sqref="F7"/>
    </sheetView>
  </sheetViews>
  <sheetFormatPr defaultRowHeight="13.2" x14ac:dyDescent="0.25"/>
  <cols>
    <col min="1" max="1" width="17.5546875" customWidth="1"/>
    <col min="2" max="2" width="27.5546875" customWidth="1"/>
    <col min="3" max="3" width="14.33203125" style="2" customWidth="1"/>
    <col min="4" max="4" width="16.33203125" style="2" customWidth="1"/>
    <col min="5" max="5" width="13" style="2" customWidth="1"/>
    <col min="6" max="6" width="13.5546875" style="2" customWidth="1"/>
    <col min="7" max="7" width="14.5546875" style="2" customWidth="1"/>
    <col min="8" max="8" width="12" style="47" customWidth="1"/>
    <col min="9" max="9" width="11.5546875" style="47" bestFit="1" customWidth="1"/>
    <col min="10" max="11" width="12.5546875" customWidth="1"/>
    <col min="12" max="13" width="11.44140625" customWidth="1"/>
  </cols>
  <sheetData>
    <row r="1" spans="1:13" ht="15.6" x14ac:dyDescent="0.3">
      <c r="A1" s="126" t="s">
        <v>917</v>
      </c>
      <c r="B1" s="127"/>
      <c r="C1" s="127"/>
      <c r="D1" s="127"/>
      <c r="E1" s="127"/>
      <c r="F1" s="127"/>
      <c r="G1" s="127"/>
      <c r="H1" s="118"/>
      <c r="I1" s="119"/>
      <c r="J1" s="128"/>
      <c r="K1" s="128"/>
      <c r="L1" s="128"/>
      <c r="M1" s="128"/>
    </row>
    <row r="2" spans="1:13" ht="15.6" x14ac:dyDescent="0.3">
      <c r="A2" s="121" t="str">
        <f>'Planning Accts'!A2</f>
        <v>2026 Draft Budget</v>
      </c>
      <c r="B2" s="122"/>
      <c r="C2" s="123"/>
      <c r="D2" s="123"/>
      <c r="E2" s="123"/>
      <c r="F2" s="123"/>
      <c r="G2" s="123"/>
      <c r="H2" s="124"/>
      <c r="I2" s="124"/>
      <c r="J2" s="105"/>
      <c r="K2" s="105"/>
      <c r="L2" s="105"/>
      <c r="M2" s="105"/>
    </row>
    <row r="3" spans="1:13" ht="90" customHeight="1" x14ac:dyDescent="0.25">
      <c r="A3" s="206"/>
      <c r="B3" s="191"/>
      <c r="C3" s="140" t="str">
        <f>'Planning Accts'!C3</f>
        <v>2025 Budget</v>
      </c>
      <c r="D3" s="140" t="str">
        <f>Summary!C5</f>
        <v>2025 Year End Projection per Third Quarter Financials</v>
      </c>
      <c r="E3" s="140" t="str">
        <f>'Planning Accts'!E3</f>
        <v>Variance Budget to Actual</v>
      </c>
      <c r="F3" s="140" t="str">
        <f>'Planning Accts'!F3</f>
        <v>2026 Budget</v>
      </c>
      <c r="G3" s="140" t="str">
        <f>'Planning Accts'!G3</f>
        <v>Variance         Budget to Budget</v>
      </c>
      <c r="H3" s="140" t="str">
        <f>'Planning Accts'!H3</f>
        <v>% Variance Budget to Budget</v>
      </c>
      <c r="I3" s="140" t="str">
        <f>'Planning Accts'!I3</f>
        <v>% Variance 2025 Actual to 2026 Budget</v>
      </c>
      <c r="J3" s="291" t="s">
        <v>901</v>
      </c>
      <c r="K3" s="292"/>
      <c r="L3" s="292"/>
      <c r="M3" s="293"/>
    </row>
    <row r="4" spans="1:13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61"/>
      <c r="K4" s="162"/>
      <c r="L4" s="162"/>
      <c r="M4" s="163"/>
    </row>
    <row r="5" spans="1:13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</row>
    <row r="6" spans="1:13" ht="15" x14ac:dyDescent="0.25">
      <c r="A6" s="143"/>
      <c r="B6" s="173"/>
      <c r="C6" s="97"/>
      <c r="D6" s="97"/>
      <c r="E6" s="97"/>
      <c r="F6" s="97"/>
      <c r="G6" s="97"/>
      <c r="H6" s="100"/>
      <c r="I6" s="98"/>
      <c r="J6" s="109"/>
      <c r="K6" s="91"/>
      <c r="L6" s="91"/>
      <c r="M6" s="110"/>
    </row>
    <row r="7" spans="1:13" ht="15" x14ac:dyDescent="0.25">
      <c r="A7" s="144"/>
      <c r="B7" s="173" t="s">
        <v>902</v>
      </c>
      <c r="C7" s="97">
        <f>'Planning Accts'!C7+'Planning Accts'!C8+'Planning Accts'!C9+'Planning Accts'!C10+'Planning Accts'!C11</f>
        <v>-63250</v>
      </c>
      <c r="D7" s="97">
        <f>-38310-25940</f>
        <v>-64250</v>
      </c>
      <c r="E7" s="97">
        <f>C7-D7</f>
        <v>1000</v>
      </c>
      <c r="F7" s="97">
        <f>'Planning Accts'!F7+'Planning Accts'!F8+'Planning Accts'!F9+'Planning Accts'!F10+'Planning Accts'!F11</f>
        <v>-58500</v>
      </c>
      <c r="G7" s="97">
        <f>F7-C7</f>
        <v>4750</v>
      </c>
      <c r="H7" s="100">
        <f>F7/C7</f>
        <v>0.92490118577075098</v>
      </c>
      <c r="I7" s="100">
        <f>F7/D7</f>
        <v>0.91050583657587547</v>
      </c>
      <c r="J7" s="109"/>
      <c r="K7" s="91"/>
      <c r="L7" s="91"/>
      <c r="M7" s="110"/>
    </row>
    <row r="8" spans="1:13" ht="15" x14ac:dyDescent="0.25">
      <c r="A8" s="143"/>
      <c r="B8" s="173" t="s">
        <v>38</v>
      </c>
      <c r="C8" s="97">
        <f>'Planning Accts'!C12</f>
        <v>-18000</v>
      </c>
      <c r="D8" s="97"/>
      <c r="E8" s="97">
        <f>C8-D8</f>
        <v>-18000</v>
      </c>
      <c r="F8" s="97">
        <f>'Planning Accts'!F12</f>
        <v>-80000</v>
      </c>
      <c r="G8" s="97">
        <f>F8-C8</f>
        <v>-62000</v>
      </c>
      <c r="H8" s="100">
        <f t="shared" ref="H8:H22" si="0">F8/C8</f>
        <v>4.4444444444444446</v>
      </c>
      <c r="I8" s="100" t="e">
        <f t="shared" ref="I8:I22" si="1">F8/D8</f>
        <v>#DIV/0!</v>
      </c>
      <c r="J8" s="109"/>
      <c r="K8" s="91"/>
      <c r="L8" s="91"/>
      <c r="M8" s="110"/>
    </row>
    <row r="9" spans="1:13" ht="15" x14ac:dyDescent="0.25">
      <c r="A9" s="143"/>
      <c r="B9" s="173"/>
      <c r="C9" s="97"/>
      <c r="D9" s="97"/>
      <c r="E9" s="97"/>
      <c r="F9" s="97"/>
      <c r="G9" s="97"/>
      <c r="H9" s="100"/>
      <c r="I9" s="100"/>
      <c r="J9" s="109"/>
      <c r="K9" s="91"/>
      <c r="L9" s="91"/>
      <c r="M9" s="110"/>
    </row>
    <row r="10" spans="1:13" ht="15" x14ac:dyDescent="0.25">
      <c r="A10" s="143" t="s">
        <v>49</v>
      </c>
      <c r="B10" s="173"/>
      <c r="C10" s="97">
        <f>SUM(C7:C9)</f>
        <v>-81250</v>
      </c>
      <c r="D10" s="97">
        <f>SUM(D7:D8)</f>
        <v>-64250</v>
      </c>
      <c r="E10" s="97">
        <f>SUM(E7:E8)</f>
        <v>-17000</v>
      </c>
      <c r="F10" s="97">
        <f>SUM(F7:F8)</f>
        <v>-138500</v>
      </c>
      <c r="G10" s="97">
        <f>SUM(G7:G8)</f>
        <v>-57250</v>
      </c>
      <c r="H10" s="100">
        <f t="shared" si="0"/>
        <v>1.7046153846153846</v>
      </c>
      <c r="I10" s="100">
        <f t="shared" si="1"/>
        <v>2.1556420233463034</v>
      </c>
      <c r="J10" s="109"/>
      <c r="K10" s="91"/>
      <c r="L10" s="91"/>
      <c r="M10" s="110"/>
    </row>
    <row r="11" spans="1:13" ht="15" x14ac:dyDescent="0.25">
      <c r="A11" s="184"/>
      <c r="B11" s="174"/>
      <c r="C11" s="155"/>
      <c r="D11" s="155"/>
      <c r="E11" s="155"/>
      <c r="F11" s="155"/>
      <c r="G11" s="155"/>
      <c r="H11" s="156"/>
      <c r="I11" s="156"/>
      <c r="J11" s="165"/>
      <c r="K11" s="166"/>
      <c r="L11" s="166"/>
      <c r="M11" s="167"/>
    </row>
    <row r="12" spans="1:13" ht="15" x14ac:dyDescent="0.25">
      <c r="A12" s="158"/>
      <c r="B12" s="172"/>
      <c r="C12" s="151"/>
      <c r="D12" s="151"/>
      <c r="E12" s="151"/>
      <c r="F12" s="151"/>
      <c r="G12" s="151"/>
      <c r="H12" s="159"/>
      <c r="I12" s="159"/>
      <c r="J12" s="161"/>
      <c r="K12" s="162"/>
      <c r="L12" s="162"/>
      <c r="M12" s="163"/>
    </row>
    <row r="13" spans="1:13" ht="15" x14ac:dyDescent="0.25">
      <c r="A13" s="143" t="s">
        <v>50</v>
      </c>
      <c r="B13" s="173"/>
      <c r="C13" s="97"/>
      <c r="D13" s="97"/>
      <c r="E13" s="97"/>
      <c r="F13" s="97"/>
      <c r="G13" s="97"/>
      <c r="H13" s="100"/>
      <c r="I13" s="100"/>
      <c r="J13" s="109"/>
      <c r="K13" s="91"/>
      <c r="L13" s="91"/>
      <c r="M13" s="110"/>
    </row>
    <row r="14" spans="1:13" ht="15" x14ac:dyDescent="0.25">
      <c r="A14" s="143"/>
      <c r="B14" s="173"/>
      <c r="C14" s="97"/>
      <c r="D14" s="97"/>
      <c r="E14" s="97"/>
      <c r="F14" s="97"/>
      <c r="G14" s="97"/>
      <c r="H14" s="100"/>
      <c r="I14" s="100"/>
      <c r="J14" s="109"/>
      <c r="K14" s="91"/>
      <c r="L14" s="91"/>
      <c r="M14" s="110"/>
    </row>
    <row r="15" spans="1:13" ht="15" x14ac:dyDescent="0.25">
      <c r="A15" s="143"/>
      <c r="B15" s="173" t="s">
        <v>903</v>
      </c>
      <c r="C15" s="97">
        <f>'Planning Accts'!C18+'Planning Accts'!C19+'Planning Accts'!C20+'Planning Accts'!C21+'Planning Accts'!C22+'Planning Accts'!C23+'Planning Accts'!C24+'Planning Accts'!C25</f>
        <v>240100</v>
      </c>
      <c r="D15" s="97">
        <f>80904+4500</f>
        <v>85404</v>
      </c>
      <c r="E15" s="97">
        <f t="shared" ref="E15:E20" si="2">C15-D15</f>
        <v>154696</v>
      </c>
      <c r="F15" s="97">
        <f>'Planning Accts'!F18+'Planning Accts'!F19+'Planning Accts'!F20+'Planning Accts'!F21+'Planning Accts'!F22+'Planning Accts'!F23+'Planning Accts'!F24+'Planning Accts'!F25</f>
        <v>61093</v>
      </c>
      <c r="G15" s="97">
        <f t="shared" ref="G15:G20" si="3">F15-C15</f>
        <v>-179007</v>
      </c>
      <c r="H15" s="100">
        <f t="shared" si="0"/>
        <v>0.25444814660558102</v>
      </c>
      <c r="I15" s="100">
        <f t="shared" si="1"/>
        <v>0.71534120181724514</v>
      </c>
      <c r="J15" s="267"/>
      <c r="K15" s="91"/>
      <c r="L15" s="91"/>
      <c r="M15" s="110"/>
    </row>
    <row r="16" spans="1:13" ht="15" x14ac:dyDescent="0.25">
      <c r="A16" s="146"/>
      <c r="B16" s="173" t="s">
        <v>904</v>
      </c>
      <c r="C16" s="97">
        <f>'Planning Accts'!C26+'Planning Accts'!C27+'Planning Accts'!C28+'Planning Accts'!C29+'Planning Accts'!C30+'Planning Accts'!C31</f>
        <v>6060</v>
      </c>
      <c r="D16" s="97">
        <f>0</f>
        <v>0</v>
      </c>
      <c r="E16" s="97">
        <f t="shared" si="2"/>
        <v>6060</v>
      </c>
      <c r="F16" s="97">
        <f>'Planning Accts'!F26+'Planning Accts'!F27+'Planning Accts'!F28+'Planning Accts'!F29+'Planning Accts'!F30+'Planning Accts'!F31</f>
        <v>480</v>
      </c>
      <c r="G16" s="97">
        <f t="shared" si="3"/>
        <v>-5580</v>
      </c>
      <c r="H16" s="100">
        <f t="shared" si="0"/>
        <v>7.9207920792079209E-2</v>
      </c>
      <c r="I16" s="100" t="e">
        <f t="shared" si="1"/>
        <v>#DIV/0!</v>
      </c>
      <c r="J16" s="112"/>
      <c r="K16" s="96"/>
      <c r="L16" s="91"/>
      <c r="M16" s="110"/>
    </row>
    <row r="17" spans="1:13" ht="15" x14ac:dyDescent="0.25">
      <c r="A17" s="146"/>
      <c r="B17" s="173" t="s">
        <v>905</v>
      </c>
      <c r="C17" s="97">
        <f>'Planning Accts'!C32+'Planning Accts'!C35+'Planning Accts'!C33+'Planning Accts'!C34+'Planning Accts'!C36+'Planning Accts'!C37</f>
        <v>56565</v>
      </c>
      <c r="D17" s="97">
        <f>44972+98472</f>
        <v>143444</v>
      </c>
      <c r="E17" s="97">
        <f t="shared" si="2"/>
        <v>-86879</v>
      </c>
      <c r="F17" s="97">
        <f>'Planning Accts'!F32+'Planning Accts'!F33+'Planning Accts'!F34+'Planning Accts'!F35+'Planning Accts'!F36+'Planning Accts'!F37</f>
        <v>156553</v>
      </c>
      <c r="G17" s="97">
        <f t="shared" si="3"/>
        <v>99988</v>
      </c>
      <c r="H17" s="100">
        <f t="shared" si="0"/>
        <v>2.7676655175461859</v>
      </c>
      <c r="I17" s="100">
        <f t="shared" si="1"/>
        <v>1.0913875798220909</v>
      </c>
      <c r="J17" s="112"/>
      <c r="K17" s="91"/>
      <c r="L17" s="91"/>
      <c r="M17" s="110"/>
    </row>
    <row r="18" spans="1:13" ht="15" x14ac:dyDescent="0.25">
      <c r="A18" s="143"/>
      <c r="B18" s="173" t="s">
        <v>821</v>
      </c>
      <c r="C18" s="97">
        <f>'Planning Accts'!C38+'Planning Accts'!C39+'Planning Accts'!C40+'Planning Accts'!C41+'Planning Accts'!C42+'Planning Accts'!C46</f>
        <v>27160</v>
      </c>
      <c r="D18" s="97">
        <f>502+6658</f>
        <v>7160</v>
      </c>
      <c r="E18" s="97">
        <f t="shared" si="2"/>
        <v>20000</v>
      </c>
      <c r="F18" s="97">
        <f>'Planning Accts'!F38+'Planning Accts'!F40+'Planning Accts'!F41+'Planning Accts'!F42+'Planning Accts'!F46+'Planning Accts'!F39</f>
        <v>22450</v>
      </c>
      <c r="G18" s="97">
        <f t="shared" si="3"/>
        <v>-4710</v>
      </c>
      <c r="H18" s="100">
        <f t="shared" si="0"/>
        <v>0.82658321060382911</v>
      </c>
      <c r="I18" s="100">
        <f t="shared" si="1"/>
        <v>3.1354748603351954</v>
      </c>
      <c r="J18" s="112"/>
      <c r="K18" s="96"/>
      <c r="L18" s="91"/>
      <c r="M18" s="110"/>
    </row>
    <row r="19" spans="1:13" ht="15" x14ac:dyDescent="0.25">
      <c r="A19" s="143"/>
      <c r="B19" s="173" t="s">
        <v>906</v>
      </c>
      <c r="C19" s="97">
        <f>'Planning Accts'!C43+'Planning Accts'!C44+'Planning Accts'!C45</f>
        <v>5011</v>
      </c>
      <c r="D19" s="97">
        <f>102+0</f>
        <v>102</v>
      </c>
      <c r="E19" s="97">
        <f t="shared" si="2"/>
        <v>4909</v>
      </c>
      <c r="F19" s="97">
        <f>'Planning Accts'!F43+'Planning Accts'!F44+'Planning Accts'!F45</f>
        <v>1430</v>
      </c>
      <c r="G19" s="97">
        <f t="shared" si="3"/>
        <v>-3581</v>
      </c>
      <c r="H19" s="100"/>
      <c r="I19" s="100">
        <f t="shared" si="1"/>
        <v>14.019607843137255</v>
      </c>
      <c r="J19" s="109"/>
      <c r="K19" s="91"/>
      <c r="L19" s="91"/>
      <c r="M19" s="110"/>
    </row>
    <row r="20" spans="1:13" ht="15" x14ac:dyDescent="0.25">
      <c r="A20" s="143"/>
      <c r="B20" s="173" t="s">
        <v>115</v>
      </c>
      <c r="C20" s="97">
        <f>'Planning Accts'!C47</f>
        <v>0</v>
      </c>
      <c r="D20" s="97"/>
      <c r="E20" s="97">
        <f t="shared" si="2"/>
        <v>0</v>
      </c>
      <c r="F20" s="97">
        <f>'Planning Accts'!F47</f>
        <v>0</v>
      </c>
      <c r="G20" s="97">
        <f t="shared" si="3"/>
        <v>0</v>
      </c>
      <c r="H20" s="100" t="e">
        <f t="shared" si="0"/>
        <v>#DIV/0!</v>
      </c>
      <c r="I20" s="100" t="e">
        <f t="shared" si="1"/>
        <v>#DIV/0!</v>
      </c>
      <c r="J20" s="109"/>
      <c r="K20" s="91"/>
      <c r="L20" s="91"/>
      <c r="M20" s="110"/>
    </row>
    <row r="21" spans="1:13" ht="15" x14ac:dyDescent="0.25">
      <c r="A21" s="143"/>
      <c r="B21" s="173"/>
      <c r="C21" s="97"/>
      <c r="D21" s="97"/>
      <c r="E21" s="97"/>
      <c r="F21" s="97"/>
      <c r="G21" s="97"/>
      <c r="H21" s="100"/>
      <c r="I21" s="100"/>
      <c r="J21" s="109"/>
      <c r="K21" s="91"/>
      <c r="L21" s="91"/>
      <c r="M21" s="110"/>
    </row>
    <row r="22" spans="1:13" ht="15" x14ac:dyDescent="0.25">
      <c r="A22" s="143" t="s">
        <v>162</v>
      </c>
      <c r="B22" s="173"/>
      <c r="C22" s="97">
        <f>SUM(C15:C20)</f>
        <v>334896</v>
      </c>
      <c r="D22" s="97">
        <f>SUM(D15:D20)</f>
        <v>236110</v>
      </c>
      <c r="E22" s="97">
        <f>SUM(E15:E20)</f>
        <v>98786</v>
      </c>
      <c r="F22" s="97">
        <f>SUM(F15:F20)</f>
        <v>242006</v>
      </c>
      <c r="G22" s="97">
        <f>SUM(G15:G20)</f>
        <v>-92890</v>
      </c>
      <c r="H22" s="100">
        <f t="shared" si="0"/>
        <v>0.7226303091108881</v>
      </c>
      <c r="I22" s="100">
        <f t="shared" si="1"/>
        <v>1.0249714116301725</v>
      </c>
      <c r="J22" s="109"/>
      <c r="K22" s="91"/>
      <c r="L22" s="91"/>
      <c r="M22" s="110"/>
    </row>
    <row r="23" spans="1:13" ht="15" x14ac:dyDescent="0.25">
      <c r="A23" s="184"/>
      <c r="B23" s="174"/>
      <c r="C23" s="155"/>
      <c r="D23" s="155"/>
      <c r="E23" s="155"/>
      <c r="F23" s="155"/>
      <c r="G23" s="155"/>
      <c r="H23" s="156"/>
      <c r="I23" s="156"/>
      <c r="J23" s="165"/>
      <c r="K23" s="166"/>
      <c r="L23" s="166"/>
      <c r="M23" s="167"/>
    </row>
    <row r="24" spans="1:13" ht="15" x14ac:dyDescent="0.25">
      <c r="A24" s="143"/>
      <c r="B24" s="173"/>
      <c r="C24" s="97"/>
      <c r="D24" s="97"/>
      <c r="E24" s="97"/>
      <c r="F24" s="97"/>
      <c r="G24" s="97"/>
      <c r="H24" s="100"/>
      <c r="I24" s="100"/>
      <c r="J24" s="109"/>
      <c r="K24" s="91"/>
      <c r="L24" s="91"/>
      <c r="M24" s="110"/>
    </row>
    <row r="25" spans="1:13" ht="15" x14ac:dyDescent="0.25">
      <c r="A25" s="143" t="s">
        <v>187</v>
      </c>
      <c r="B25" s="173"/>
      <c r="C25" s="97">
        <f>C10+C22</f>
        <v>253646</v>
      </c>
      <c r="D25" s="97">
        <f>D10+D22</f>
        <v>171860</v>
      </c>
      <c r="E25" s="97">
        <f>E10+E22</f>
        <v>81786</v>
      </c>
      <c r="F25" s="97">
        <f>F10+F22</f>
        <v>103506</v>
      </c>
      <c r="G25" s="97">
        <f>G10+G22</f>
        <v>-150140</v>
      </c>
      <c r="H25" s="100">
        <f>F25/C25</f>
        <v>0.40807266820687099</v>
      </c>
      <c r="I25" s="100">
        <f>F25/D25</f>
        <v>0.60226928895612708</v>
      </c>
      <c r="J25" s="109"/>
      <c r="K25" s="91"/>
      <c r="L25" s="91"/>
      <c r="M25" s="110"/>
    </row>
    <row r="26" spans="1:13" x14ac:dyDescent="0.25">
      <c r="A26" s="231"/>
      <c r="B26" s="232"/>
      <c r="C26" s="233"/>
      <c r="D26" s="233"/>
      <c r="E26" s="233"/>
      <c r="F26" s="233"/>
      <c r="G26" s="233"/>
      <c r="H26" s="246"/>
      <c r="I26" s="246"/>
      <c r="J26" s="231"/>
      <c r="K26" s="232"/>
      <c r="L26" s="232"/>
      <c r="M26" s="234"/>
    </row>
  </sheetData>
  <mergeCells count="1">
    <mergeCell ref="J3:M3"/>
  </mergeCells>
  <conditionalFormatting sqref="A7 A16:A17">
    <cfRule type="expression" dxfId="9" priority="1" stopIfTrue="1">
      <formula>AND(COUNTIF($A$1:$A$341, A7)&gt;1,NOT(ISBLANK(A7)))</formula>
    </cfRule>
  </conditionalFormatting>
  <pageMargins left="0.7" right="0.7" top="0.75" bottom="0.75" header="0.3" footer="0.3"/>
  <pageSetup paperSize="5" scale="75" orientation="landscape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N28"/>
  <sheetViews>
    <sheetView topLeftCell="A4" zoomScale="90" zoomScaleNormal="90" workbookViewId="0">
      <selection activeCell="F21" sqref="F21"/>
    </sheetView>
  </sheetViews>
  <sheetFormatPr defaultRowHeight="13.2" x14ac:dyDescent="0.25"/>
  <cols>
    <col min="1" max="1" width="17" customWidth="1"/>
    <col min="2" max="2" width="30.33203125" customWidth="1"/>
    <col min="3" max="3" width="13.6640625" style="2" customWidth="1"/>
    <col min="4" max="4" width="19.6640625" style="2" customWidth="1"/>
    <col min="5" max="5" width="13" style="2" customWidth="1"/>
    <col min="6" max="6" width="14" style="2" customWidth="1"/>
    <col min="7" max="7" width="20.5546875" style="2" customWidth="1"/>
    <col min="8" max="8" width="11.5546875" style="47" customWidth="1"/>
    <col min="9" max="9" width="12.33203125" style="47" customWidth="1"/>
    <col min="10" max="13" width="11.44140625" customWidth="1"/>
  </cols>
  <sheetData>
    <row r="1" spans="1:14" ht="15.6" x14ac:dyDescent="0.3">
      <c r="A1" s="126" t="s">
        <v>17</v>
      </c>
      <c r="B1" s="127"/>
      <c r="C1" s="127"/>
      <c r="D1" s="127"/>
      <c r="E1" s="127"/>
      <c r="F1" s="127"/>
      <c r="G1" s="127"/>
      <c r="H1" s="119"/>
      <c r="I1" s="119"/>
      <c r="J1" s="128"/>
      <c r="K1" s="128"/>
      <c r="L1" s="128"/>
      <c r="M1" s="128"/>
    </row>
    <row r="2" spans="1:14" ht="15.6" x14ac:dyDescent="0.3">
      <c r="A2" s="121" t="str">
        <f>'Police Services Accts'!A2</f>
        <v>2026 Draft Budget</v>
      </c>
      <c r="B2" s="201"/>
      <c r="C2" s="202"/>
      <c r="D2" s="202"/>
      <c r="E2" s="202"/>
      <c r="F2" s="202"/>
      <c r="G2" s="202"/>
      <c r="H2" s="124"/>
      <c r="I2" s="124"/>
      <c r="J2" s="105"/>
      <c r="K2" s="105"/>
      <c r="L2" s="105"/>
      <c r="M2" s="105"/>
    </row>
    <row r="3" spans="1:14" ht="75" customHeight="1" x14ac:dyDescent="0.25">
      <c r="A3" s="206"/>
      <c r="B3" s="191"/>
      <c r="C3" s="140" t="str">
        <f>'Police Services Accts'!C3</f>
        <v>2025 Budget</v>
      </c>
      <c r="D3" s="140" t="str">
        <f>Summary!C5</f>
        <v>2025 Year End Projection per Third Quarter Financials</v>
      </c>
      <c r="E3" s="140" t="str">
        <f>'Police Services Accts'!E3</f>
        <v>Variance Budget to Actual</v>
      </c>
      <c r="F3" s="140" t="str">
        <f>'Police Services Accts'!F3</f>
        <v>2026 Budget</v>
      </c>
      <c r="G3" s="140" t="str">
        <f>'Police Services Accts'!G3</f>
        <v>Variance         Budget to Budget</v>
      </c>
      <c r="H3" s="140" t="str">
        <f>'Police Services Accts'!H3</f>
        <v>% Variance Budget to Budget</v>
      </c>
      <c r="I3" s="140" t="str">
        <f>'Police Services Accts'!I3</f>
        <v>% Variance 2025 Actual to 2026 Budget</v>
      </c>
      <c r="J3" s="291" t="s">
        <v>901</v>
      </c>
      <c r="K3" s="292"/>
      <c r="L3" s="292"/>
      <c r="M3" s="293"/>
      <c r="N3" s="239"/>
    </row>
    <row r="4" spans="1:14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61"/>
      <c r="K4" s="162"/>
      <c r="L4" s="162"/>
      <c r="M4" s="163"/>
      <c r="N4" s="239"/>
    </row>
    <row r="5" spans="1:14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  <c r="N5" s="239"/>
    </row>
    <row r="6" spans="1:14" ht="15" x14ac:dyDescent="0.25">
      <c r="A6" s="143"/>
      <c r="B6" s="173"/>
      <c r="C6" s="97"/>
      <c r="D6" s="97"/>
      <c r="E6" s="97"/>
      <c r="F6" s="97"/>
      <c r="G6" s="97"/>
      <c r="H6" s="98"/>
      <c r="I6" s="98"/>
      <c r="J6" s="109"/>
      <c r="K6" s="91"/>
      <c r="L6" s="91"/>
      <c r="M6" s="110"/>
      <c r="N6" s="239"/>
    </row>
    <row r="7" spans="1:14" ht="15" x14ac:dyDescent="0.25">
      <c r="A7" s="144"/>
      <c r="B7" s="173" t="s">
        <v>300</v>
      </c>
      <c r="C7" s="97">
        <f>'Police Services Accts'!C7+'Police Services Accts'!C8</f>
        <v>-9819</v>
      </c>
      <c r="D7" s="97">
        <v>-9819</v>
      </c>
      <c r="E7" s="97">
        <f>C7-D7</f>
        <v>0</v>
      </c>
      <c r="F7" s="97">
        <f>'Police Services Accts'!F7+'Police Services Accts'!F8</f>
        <v>-19154.400000000001</v>
      </c>
      <c r="G7" s="97">
        <f>F7-C7</f>
        <v>-9335.4000000000015</v>
      </c>
      <c r="H7" s="100">
        <f>F7/C7</f>
        <v>1.9507485487320502</v>
      </c>
      <c r="I7" s="100">
        <f>F7/D7</f>
        <v>1.9507485487320502</v>
      </c>
      <c r="J7" s="109"/>
      <c r="K7" s="91"/>
      <c r="L7" s="91"/>
      <c r="M7" s="110"/>
      <c r="N7" s="239"/>
    </row>
    <row r="8" spans="1:14" ht="15" x14ac:dyDescent="0.25">
      <c r="A8" s="144"/>
      <c r="B8" s="173" t="s">
        <v>902</v>
      </c>
      <c r="C8" s="97">
        <f>'Police Services Accts'!C9</f>
        <v>-1700</v>
      </c>
      <c r="D8" s="97">
        <v>-1700</v>
      </c>
      <c r="E8" s="97">
        <f>C8-D8</f>
        <v>0</v>
      </c>
      <c r="F8" s="97">
        <f>'Police Services Accts'!F9</f>
        <v>-1700</v>
      </c>
      <c r="G8" s="97">
        <f>F8-C8</f>
        <v>0</v>
      </c>
      <c r="H8" s="100">
        <f t="shared" ref="H8:H22" si="0">F8/C8</f>
        <v>1</v>
      </c>
      <c r="I8" s="100">
        <f t="shared" ref="I8:I22" si="1">F8/D8</f>
        <v>1</v>
      </c>
      <c r="J8" s="109"/>
      <c r="K8" s="91"/>
      <c r="L8" s="91"/>
      <c r="M8" s="110"/>
      <c r="N8" s="239"/>
    </row>
    <row r="9" spans="1:14" ht="15" x14ac:dyDescent="0.25">
      <c r="A9" s="144"/>
      <c r="B9" s="173" t="s">
        <v>205</v>
      </c>
      <c r="C9" s="97">
        <f>'Police Services Accts'!C10</f>
        <v>0</v>
      </c>
      <c r="D9" s="97"/>
      <c r="E9" s="97">
        <f>C9-D9</f>
        <v>0</v>
      </c>
      <c r="F9" s="97">
        <f>'Police Services Accts'!F10</f>
        <v>0</v>
      </c>
      <c r="G9" s="97">
        <f>F9-C9</f>
        <v>0</v>
      </c>
      <c r="H9" s="100"/>
      <c r="I9" s="100"/>
      <c r="J9" s="109"/>
      <c r="K9" s="91"/>
      <c r="L9" s="91"/>
      <c r="M9" s="110"/>
      <c r="N9" s="239"/>
    </row>
    <row r="10" spans="1:14" ht="15" x14ac:dyDescent="0.25">
      <c r="A10" s="145"/>
      <c r="B10" s="173" t="s">
        <v>208</v>
      </c>
      <c r="C10" s="97">
        <f>'Police Services Accts'!C11</f>
        <v>0</v>
      </c>
      <c r="D10" s="97"/>
      <c r="E10" s="97">
        <f>C10-D10</f>
        <v>0</v>
      </c>
      <c r="F10" s="97">
        <f>'Police Services Accts'!F11</f>
        <v>0</v>
      </c>
      <c r="G10" s="97">
        <f>F10-C10</f>
        <v>0</v>
      </c>
      <c r="H10" s="100" t="e">
        <f t="shared" si="0"/>
        <v>#DIV/0!</v>
      </c>
      <c r="I10" s="100" t="e">
        <f t="shared" si="1"/>
        <v>#DIV/0!</v>
      </c>
      <c r="J10" s="109"/>
      <c r="K10" s="91"/>
      <c r="L10" s="91"/>
      <c r="M10" s="110"/>
      <c r="N10" s="239"/>
    </row>
    <row r="11" spans="1:14" ht="15" x14ac:dyDescent="0.25">
      <c r="A11" s="143"/>
      <c r="B11" s="173"/>
      <c r="C11" s="97"/>
      <c r="D11" s="97"/>
      <c r="E11" s="97"/>
      <c r="F11" s="97"/>
      <c r="G11" s="97"/>
      <c r="H11" s="100"/>
      <c r="I11" s="100"/>
      <c r="J11" s="109"/>
      <c r="K11" s="91"/>
      <c r="L11" s="91"/>
      <c r="M11" s="110"/>
      <c r="N11" s="239"/>
    </row>
    <row r="12" spans="1:14" ht="15" x14ac:dyDescent="0.25">
      <c r="A12" s="143" t="s">
        <v>49</v>
      </c>
      <c r="B12" s="173"/>
      <c r="C12" s="97">
        <f>SUM(C7:C11)</f>
        <v>-11519</v>
      </c>
      <c r="D12" s="97">
        <f>SUM(D7:D11)</f>
        <v>-11519</v>
      </c>
      <c r="E12" s="97">
        <f>SUM(E7:E11)</f>
        <v>0</v>
      </c>
      <c r="F12" s="97">
        <f>SUM(F7:F11)</f>
        <v>-20854.400000000001</v>
      </c>
      <c r="G12" s="97">
        <f>SUM(G7:G10)</f>
        <v>-9335.4000000000015</v>
      </c>
      <c r="H12" s="100">
        <f t="shared" si="0"/>
        <v>1.8104349335879852</v>
      </c>
      <c r="I12" s="100">
        <f t="shared" si="1"/>
        <v>1.8104349335879852</v>
      </c>
      <c r="J12" s="109"/>
      <c r="K12" s="91"/>
      <c r="L12" s="91"/>
      <c r="M12" s="110"/>
      <c r="N12" s="239"/>
    </row>
    <row r="13" spans="1:14" ht="15" x14ac:dyDescent="0.25">
      <c r="A13" s="184"/>
      <c r="B13" s="174"/>
      <c r="C13" s="155"/>
      <c r="D13" s="155"/>
      <c r="E13" s="155"/>
      <c r="F13" s="155"/>
      <c r="G13" s="155"/>
      <c r="H13" s="156"/>
      <c r="I13" s="156"/>
      <c r="J13" s="165"/>
      <c r="K13" s="166"/>
      <c r="L13" s="166"/>
      <c r="M13" s="167"/>
      <c r="N13" s="239"/>
    </row>
    <row r="14" spans="1:14" ht="15" x14ac:dyDescent="0.25">
      <c r="A14" s="158"/>
      <c r="B14" s="172"/>
      <c r="C14" s="151"/>
      <c r="D14" s="151"/>
      <c r="E14" s="151"/>
      <c r="F14" s="151"/>
      <c r="G14" s="151"/>
      <c r="H14" s="159"/>
      <c r="I14" s="159"/>
      <c r="J14" s="161"/>
      <c r="K14" s="162"/>
      <c r="L14" s="162"/>
      <c r="M14" s="163"/>
      <c r="N14" s="239"/>
    </row>
    <row r="15" spans="1:14" ht="15" x14ac:dyDescent="0.25">
      <c r="A15" s="143" t="s">
        <v>50</v>
      </c>
      <c r="B15" s="173"/>
      <c r="C15" s="97"/>
      <c r="D15" s="97"/>
      <c r="E15" s="97"/>
      <c r="F15" s="97"/>
      <c r="G15" s="97"/>
      <c r="H15" s="100"/>
      <c r="I15" s="100"/>
      <c r="J15" s="109"/>
      <c r="K15" s="91"/>
      <c r="L15" s="91"/>
      <c r="M15" s="110"/>
      <c r="N15" s="239"/>
    </row>
    <row r="16" spans="1:14" ht="15" x14ac:dyDescent="0.25">
      <c r="A16" s="143"/>
      <c r="B16" s="173"/>
      <c r="C16" s="97"/>
      <c r="D16" s="97"/>
      <c r="E16" s="97"/>
      <c r="F16" s="97"/>
      <c r="G16" s="97"/>
      <c r="H16" s="100"/>
      <c r="I16" s="100"/>
      <c r="J16" s="109"/>
      <c r="K16" s="91"/>
      <c r="L16" s="91"/>
      <c r="M16" s="110"/>
      <c r="N16" s="239"/>
    </row>
    <row r="17" spans="1:14" ht="15" x14ac:dyDescent="0.25">
      <c r="A17" s="144"/>
      <c r="B17" s="173" t="s">
        <v>751</v>
      </c>
      <c r="C17" s="97">
        <f>'Police Services Accts'!C18</f>
        <v>0</v>
      </c>
      <c r="D17" s="97">
        <v>0</v>
      </c>
      <c r="E17" s="97">
        <f t="shared" ref="E17:E22" si="2">C17-D17</f>
        <v>0</v>
      </c>
      <c r="F17" s="97">
        <f>'Police Services Accts'!F18</f>
        <v>0</v>
      </c>
      <c r="G17" s="97">
        <f t="shared" ref="G17:G22" si="3">F17-C17</f>
        <v>0</v>
      </c>
      <c r="H17" s="100" t="e">
        <f>F17/C17</f>
        <v>#DIV/0!</v>
      </c>
      <c r="I17" s="100" t="e">
        <f>F17/D17</f>
        <v>#DIV/0!</v>
      </c>
      <c r="J17" s="109"/>
      <c r="K17" s="91"/>
      <c r="L17" s="91"/>
      <c r="M17" s="110"/>
      <c r="N17" s="239"/>
    </row>
    <row r="18" spans="1:14" ht="15" x14ac:dyDescent="0.25">
      <c r="A18" s="256"/>
      <c r="B18" s="173" t="s">
        <v>904</v>
      </c>
      <c r="C18" s="97">
        <f>'Police Services Accts'!C19+'Police Services Accts'!C20+'Police Services Accts'!C21+'Police Services Accts'!C22+'Police Services Accts'!C23+'Police Services Accts'!C24</f>
        <v>0</v>
      </c>
      <c r="D18" s="97">
        <v>0</v>
      </c>
      <c r="E18" s="97">
        <f t="shared" si="2"/>
        <v>0</v>
      </c>
      <c r="F18" s="97">
        <f>'Police Services Accts'!F19+'Police Services Accts'!F20+'Police Services Accts'!F21+'Police Services Accts'!F22+'Police Services Accts'!F23+'Police Services Accts'!F24</f>
        <v>0</v>
      </c>
      <c r="G18" s="97">
        <f t="shared" si="3"/>
        <v>0</v>
      </c>
      <c r="H18" s="100" t="e">
        <f t="shared" si="0"/>
        <v>#DIV/0!</v>
      </c>
      <c r="I18" s="100" t="e">
        <f t="shared" si="1"/>
        <v>#DIV/0!</v>
      </c>
      <c r="J18" s="109"/>
      <c r="K18" s="91"/>
      <c r="L18" s="91"/>
      <c r="M18" s="110"/>
      <c r="N18" s="239"/>
    </row>
    <row r="19" spans="1:14" ht="15" x14ac:dyDescent="0.25">
      <c r="A19" s="256"/>
      <c r="B19" s="173" t="s">
        <v>905</v>
      </c>
      <c r="C19" s="97">
        <f>'Police Services Accts'!C25+'Police Services Accts'!C26+'Police Services Accts'!C34</f>
        <v>13030</v>
      </c>
      <c r="D19" s="97">
        <v>2200</v>
      </c>
      <c r="E19" s="97">
        <f t="shared" si="2"/>
        <v>10830</v>
      </c>
      <c r="F19" s="97">
        <f>'Police Services Accts'!F25+'Police Services Accts'!F26+'Police Services Accts'!F32+'Police Services Accts'!F34</f>
        <v>8066</v>
      </c>
      <c r="G19" s="97">
        <f t="shared" si="3"/>
        <v>-4964</v>
      </c>
      <c r="H19" s="100">
        <f t="shared" si="0"/>
        <v>0.61903300076745971</v>
      </c>
      <c r="I19" s="100">
        <f t="shared" si="1"/>
        <v>3.6663636363636365</v>
      </c>
      <c r="J19" s="109"/>
      <c r="K19" s="91"/>
      <c r="L19" s="91"/>
      <c r="M19" s="110"/>
      <c r="N19" s="239"/>
    </row>
    <row r="20" spans="1:14" ht="15" x14ac:dyDescent="0.25">
      <c r="A20" s="256"/>
      <c r="B20" s="173" t="s">
        <v>772</v>
      </c>
      <c r="C20" s="97">
        <f>'Police Services Accts'!C27</f>
        <v>933790</v>
      </c>
      <c r="D20" s="97">
        <v>933790</v>
      </c>
      <c r="E20" s="97">
        <f t="shared" si="2"/>
        <v>0</v>
      </c>
      <c r="F20" s="97">
        <f>'Police Services Accts'!F27</f>
        <v>1036507</v>
      </c>
      <c r="G20" s="97">
        <f t="shared" si="3"/>
        <v>102717</v>
      </c>
      <c r="H20" s="100">
        <f t="shared" si="0"/>
        <v>1.1100001070904593</v>
      </c>
      <c r="I20" s="100">
        <f t="shared" si="1"/>
        <v>1.1100001070904593</v>
      </c>
      <c r="J20" s="109"/>
      <c r="K20" s="91"/>
      <c r="L20" s="91"/>
      <c r="M20" s="110"/>
      <c r="N20" s="239"/>
    </row>
    <row r="21" spans="1:14" ht="15" x14ac:dyDescent="0.25">
      <c r="A21" s="256"/>
      <c r="B21" s="173" t="s">
        <v>918</v>
      </c>
      <c r="C21" s="97">
        <f>'Police Services Accts'!C28+'Police Services Accts'!C29+'Police Services Accts'!C30+'Police Services Accts'!C31+'Police Services Accts'!C32</f>
        <v>6600</v>
      </c>
      <c r="D21" s="97">
        <v>13738</v>
      </c>
      <c r="E21" s="97">
        <f t="shared" si="2"/>
        <v>-7138</v>
      </c>
      <c r="F21" s="97">
        <f>'Police Services Accts'!F28+'Police Services Accts'!F29+'Police Services Accts'!F30+'Police Services Accts'!F31+'Police Services Accts'!F32</f>
        <v>15935.4</v>
      </c>
      <c r="G21" s="97">
        <f t="shared" si="3"/>
        <v>9335.4</v>
      </c>
      <c r="H21" s="100">
        <f t="shared" si="0"/>
        <v>2.4144545454545452</v>
      </c>
      <c r="I21" s="100">
        <f t="shared" si="1"/>
        <v>1.1599505022565149</v>
      </c>
      <c r="J21" s="112"/>
      <c r="K21" s="91"/>
      <c r="L21" s="91"/>
      <c r="M21" s="110"/>
      <c r="N21" s="239"/>
    </row>
    <row r="22" spans="1:14" ht="15" x14ac:dyDescent="0.25">
      <c r="A22" s="145"/>
      <c r="B22" s="173" t="s">
        <v>919</v>
      </c>
      <c r="C22" s="97">
        <f>'Police Services Accts'!C33</f>
        <v>1700</v>
      </c>
      <c r="D22" s="97">
        <v>1700</v>
      </c>
      <c r="E22" s="97">
        <f t="shared" si="2"/>
        <v>0</v>
      </c>
      <c r="F22" s="97">
        <f>'Police Services Accts'!F33</f>
        <v>1700</v>
      </c>
      <c r="G22" s="97">
        <f t="shared" si="3"/>
        <v>0</v>
      </c>
      <c r="H22" s="100">
        <f t="shared" si="0"/>
        <v>1</v>
      </c>
      <c r="I22" s="100">
        <f t="shared" si="1"/>
        <v>1</v>
      </c>
      <c r="J22" s="109"/>
      <c r="K22" s="91"/>
      <c r="L22" s="91"/>
      <c r="M22" s="110"/>
      <c r="N22" s="239"/>
    </row>
    <row r="23" spans="1:14" ht="15" x14ac:dyDescent="0.25">
      <c r="A23" s="143"/>
      <c r="B23" s="173"/>
      <c r="C23" s="97"/>
      <c r="D23" s="97"/>
      <c r="E23" s="97"/>
      <c r="F23" s="97"/>
      <c r="G23" s="97"/>
      <c r="H23" s="100"/>
      <c r="I23" s="100"/>
      <c r="J23" s="109"/>
      <c r="K23" s="91"/>
      <c r="L23" s="91"/>
      <c r="M23" s="110"/>
      <c r="N23" s="239"/>
    </row>
    <row r="24" spans="1:14" ht="15" x14ac:dyDescent="0.25">
      <c r="A24" s="256" t="s">
        <v>162</v>
      </c>
      <c r="B24" s="173"/>
      <c r="C24" s="97">
        <f>SUM(C17:C23)</f>
        <v>955120</v>
      </c>
      <c r="D24" s="97">
        <f>SUM(D17:D23)</f>
        <v>951428</v>
      </c>
      <c r="E24" s="97">
        <f>SUM(E17:E23)</f>
        <v>3692</v>
      </c>
      <c r="F24" s="97">
        <f>SUM(F17:F23)</f>
        <v>1062208.3999999999</v>
      </c>
      <c r="G24" s="97">
        <f>SUM(G17:G23)</f>
        <v>107088.4</v>
      </c>
      <c r="H24" s="100">
        <f>F24/C24</f>
        <v>1.11212036183935</v>
      </c>
      <c r="I24" s="100">
        <f>F24/D24</f>
        <v>1.1164359257873426</v>
      </c>
      <c r="J24" s="109"/>
      <c r="K24" s="91"/>
      <c r="L24" s="91"/>
      <c r="M24" s="110"/>
      <c r="N24" s="239"/>
    </row>
    <row r="25" spans="1:14" ht="15" x14ac:dyDescent="0.25">
      <c r="A25" s="263"/>
      <c r="B25" s="174"/>
      <c r="C25" s="155"/>
      <c r="D25" s="155"/>
      <c r="E25" s="155"/>
      <c r="F25" s="155"/>
      <c r="G25" s="155"/>
      <c r="H25" s="156"/>
      <c r="I25" s="156"/>
      <c r="J25" s="165"/>
      <c r="K25" s="166"/>
      <c r="L25" s="166"/>
      <c r="M25" s="167"/>
      <c r="N25" s="239"/>
    </row>
    <row r="26" spans="1:14" ht="15" x14ac:dyDescent="0.25">
      <c r="A26" s="143"/>
      <c r="B26" s="173"/>
      <c r="C26" s="97"/>
      <c r="D26" s="97"/>
      <c r="E26" s="97"/>
      <c r="F26" s="97"/>
      <c r="G26" s="97"/>
      <c r="H26" s="100"/>
      <c r="I26" s="196"/>
      <c r="J26" s="109"/>
      <c r="K26" s="91"/>
      <c r="L26" s="91"/>
      <c r="M26" s="110"/>
      <c r="N26" s="239"/>
    </row>
    <row r="27" spans="1:14" ht="15" x14ac:dyDescent="0.25">
      <c r="A27" s="143" t="s">
        <v>166</v>
      </c>
      <c r="B27" s="173"/>
      <c r="C27" s="97">
        <f>C12+C24</f>
        <v>943601</v>
      </c>
      <c r="D27" s="97">
        <f>D12+D24</f>
        <v>939909</v>
      </c>
      <c r="E27" s="97">
        <f>E12+E24</f>
        <v>3692</v>
      </c>
      <c r="F27" s="97">
        <f>F12+F24</f>
        <v>1041353.9999999999</v>
      </c>
      <c r="G27" s="97">
        <f>G12+G24</f>
        <v>97753</v>
      </c>
      <c r="H27" s="100">
        <f>F27/C27</f>
        <v>1.1035956935187647</v>
      </c>
      <c r="I27" s="197">
        <f>F27/D27</f>
        <v>1.107930661372537</v>
      </c>
      <c r="J27" s="109"/>
      <c r="K27" s="91"/>
      <c r="L27" s="91"/>
      <c r="M27" s="110"/>
      <c r="N27" s="239"/>
    </row>
    <row r="28" spans="1:14" x14ac:dyDescent="0.25">
      <c r="A28" s="104"/>
      <c r="B28" s="105"/>
      <c r="C28" s="106"/>
      <c r="D28" s="106"/>
      <c r="E28" s="106"/>
      <c r="F28" s="106"/>
      <c r="G28" s="106"/>
      <c r="H28" s="107"/>
      <c r="I28" s="107"/>
      <c r="J28" s="104"/>
      <c r="K28" s="105"/>
      <c r="L28" s="105"/>
      <c r="M28" s="117"/>
    </row>
  </sheetData>
  <mergeCells count="1">
    <mergeCell ref="J3:M3"/>
  </mergeCells>
  <conditionalFormatting sqref="A7:A9">
    <cfRule type="expression" dxfId="8" priority="3" stopIfTrue="1">
      <formula>AND(COUNTIF($A$1:$A$341, A7)&gt;1,NOT(ISBLANK(A7)))</formula>
    </cfRule>
  </conditionalFormatting>
  <conditionalFormatting sqref="A10">
    <cfRule type="expression" dxfId="7" priority="4" stopIfTrue="1">
      <formula>AND(COUNTIF($A$1:$A$336, A10)&gt;1,NOT(ISBLANK(A10)))</formula>
    </cfRule>
  </conditionalFormatting>
  <conditionalFormatting sqref="A17:A21 A24:A25">
    <cfRule type="expression" dxfId="6" priority="1" stopIfTrue="1">
      <formula>AND(COUNTIF($A$1:$A$340, A17)&gt;1,NOT(ISBLANK(A17)))</formula>
    </cfRule>
  </conditionalFormatting>
  <conditionalFormatting sqref="A22">
    <cfRule type="expression" dxfId="5" priority="2" stopIfTrue="1">
      <formula>AND(COUNTIF($A$1:$A$337, A22)&gt;1,NOT(ISBLANK(A22)))</formula>
    </cfRule>
  </conditionalFormatting>
  <pageMargins left="0.7" right="0.7" top="0.75" bottom="0.75" header="0.3" footer="0.3"/>
  <pageSetup paperSize="5" scale="70" orientation="landscape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  <pageSetUpPr fitToPage="1"/>
  </sheetPr>
  <dimension ref="A1:N33"/>
  <sheetViews>
    <sheetView topLeftCell="A13" zoomScale="90" zoomScaleNormal="90" workbookViewId="0">
      <selection activeCell="A20" sqref="A20:XFD20"/>
    </sheetView>
  </sheetViews>
  <sheetFormatPr defaultRowHeight="13.2" x14ac:dyDescent="0.25"/>
  <cols>
    <col min="1" max="1" width="16.33203125" customWidth="1"/>
    <col min="2" max="2" width="29.33203125" customWidth="1"/>
    <col min="3" max="3" width="15.44140625" style="2" customWidth="1"/>
    <col min="4" max="4" width="17.33203125" style="2" customWidth="1"/>
    <col min="5" max="5" width="15" style="2" customWidth="1"/>
    <col min="6" max="6" width="14.33203125" style="2" customWidth="1"/>
    <col min="7" max="7" width="18.6640625" style="2" customWidth="1"/>
    <col min="8" max="8" width="11.33203125" style="47" customWidth="1"/>
    <col min="9" max="9" width="16.33203125" style="47" bestFit="1" customWidth="1"/>
    <col min="10" max="13" width="11.33203125" customWidth="1"/>
  </cols>
  <sheetData>
    <row r="1" spans="1:14" ht="15.6" x14ac:dyDescent="0.3">
      <c r="A1" s="126" t="s">
        <v>923</v>
      </c>
      <c r="B1" s="127"/>
      <c r="C1" s="127"/>
      <c r="D1" s="127"/>
      <c r="E1" s="127"/>
      <c r="F1" s="127"/>
      <c r="G1" s="127"/>
      <c r="H1" s="119"/>
      <c r="I1" s="119"/>
      <c r="J1" s="128"/>
      <c r="K1" s="128"/>
      <c r="L1" s="128"/>
      <c r="M1" s="128"/>
    </row>
    <row r="2" spans="1:14" ht="15.6" x14ac:dyDescent="0.3">
      <c r="A2" s="121" t="str">
        <f>'Public Works Accts'!A2</f>
        <v>2026 Draft Budget</v>
      </c>
      <c r="B2" s="122"/>
      <c r="C2" s="123"/>
      <c r="D2" s="123"/>
      <c r="E2" s="123"/>
      <c r="F2" s="123"/>
      <c r="G2" s="123"/>
      <c r="H2" s="124"/>
      <c r="I2" s="124"/>
      <c r="J2" s="105"/>
      <c r="K2" s="105"/>
      <c r="L2" s="105"/>
      <c r="M2" s="105"/>
    </row>
    <row r="3" spans="1:14" ht="60.75" customHeight="1" x14ac:dyDescent="0.25">
      <c r="A3" s="189"/>
      <c r="B3" s="134"/>
      <c r="C3" s="190" t="str">
        <f>'Public Works Accts'!C3</f>
        <v>2025 Budget</v>
      </c>
      <c r="D3" s="190" t="str">
        <f>Summary!C5</f>
        <v>2025 Year End Projection per Third Quarter Financials</v>
      </c>
      <c r="E3" s="190" t="str">
        <f>'Public Works Accts'!E3</f>
        <v>Variance Budget to Actual</v>
      </c>
      <c r="F3" s="190" t="str">
        <f>'Public Works Accts'!F3</f>
        <v>2026 Budget</v>
      </c>
      <c r="G3" s="190" t="str">
        <f>'Public Works Accts'!G3</f>
        <v>Variance         Budget to Budget</v>
      </c>
      <c r="H3" s="190" t="str">
        <f>'Public Works Accts'!H3</f>
        <v>% Variance Budget to Budget</v>
      </c>
      <c r="I3" s="190" t="str">
        <f>'Public Works Accts'!I3</f>
        <v>% Variance 2025 Actual to 2026 Budget</v>
      </c>
      <c r="J3" s="291" t="s">
        <v>901</v>
      </c>
      <c r="K3" s="292"/>
      <c r="L3" s="292"/>
      <c r="M3" s="293"/>
    </row>
    <row r="4" spans="1:14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09"/>
      <c r="K4" s="91"/>
      <c r="L4" s="91"/>
      <c r="M4" s="110"/>
      <c r="N4" s="91"/>
    </row>
    <row r="5" spans="1:14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  <c r="N5" s="91"/>
    </row>
    <row r="6" spans="1:14" ht="15" x14ac:dyDescent="0.25">
      <c r="A6" s="143"/>
      <c r="B6" s="173"/>
      <c r="C6" s="97"/>
      <c r="D6" s="97"/>
      <c r="E6" s="97"/>
      <c r="F6" s="97"/>
      <c r="G6" s="97"/>
      <c r="H6" s="98"/>
      <c r="I6" s="98"/>
      <c r="J6" s="109"/>
      <c r="K6" s="91"/>
      <c r="L6" s="91"/>
      <c r="M6" s="110"/>
      <c r="N6" s="91"/>
    </row>
    <row r="7" spans="1:14" ht="15" x14ac:dyDescent="0.25">
      <c r="A7" s="144"/>
      <c r="B7" s="173"/>
      <c r="C7" s="177"/>
      <c r="D7" s="97"/>
      <c r="E7" s="97"/>
      <c r="F7" s="97"/>
      <c r="G7" s="97"/>
      <c r="H7" s="100"/>
      <c r="I7" s="100"/>
      <c r="J7" s="109"/>
      <c r="K7" s="91"/>
      <c r="L7" s="91"/>
      <c r="M7" s="110"/>
      <c r="N7" s="91"/>
    </row>
    <row r="8" spans="1:14" ht="15" x14ac:dyDescent="0.25">
      <c r="A8" s="144"/>
      <c r="B8" s="173" t="s">
        <v>300</v>
      </c>
      <c r="C8" s="177">
        <f>'Public Works Accts'!C8+'Public Works Accts'!C9</f>
        <v>-100000</v>
      </c>
      <c r="D8" s="177">
        <v>0</v>
      </c>
      <c r="E8" s="177">
        <f>C8-D8</f>
        <v>-100000</v>
      </c>
      <c r="F8" s="177">
        <f>'Public Works Accts'!F8+'Public Works Accts'!F9</f>
        <v>-225000</v>
      </c>
      <c r="G8" s="177">
        <f>F8-C8</f>
        <v>-125000</v>
      </c>
      <c r="H8" s="178">
        <f>F8/C8</f>
        <v>2.25</v>
      </c>
      <c r="I8" s="178" t="e">
        <f>F8/D8</f>
        <v>#DIV/0!</v>
      </c>
      <c r="J8" s="109"/>
      <c r="K8" s="91"/>
      <c r="L8" s="91"/>
      <c r="M8" s="110"/>
      <c r="N8" s="91"/>
    </row>
    <row r="9" spans="1:14" ht="15" x14ac:dyDescent="0.25">
      <c r="A9" s="181"/>
      <c r="B9" s="173" t="s">
        <v>902</v>
      </c>
      <c r="C9" s="97">
        <f>'Public Works Accts'!C10+'Public Works Accts'!C11+'Public Works Accts'!C12+'Public Works Accts'!C13+'Public Works Accts'!C14</f>
        <v>-36977</v>
      </c>
      <c r="D9" s="97">
        <v>-36977</v>
      </c>
      <c r="E9" s="177">
        <f>C9-D9</f>
        <v>0</v>
      </c>
      <c r="F9" s="97">
        <f>'Public Works Accts'!F10+'Public Works Accts'!F11+'Public Works Accts'!F12+'Public Works Accts'!F13+'Public Works Accts'!F14</f>
        <v>-38976</v>
      </c>
      <c r="G9" s="177">
        <f>F9-C9</f>
        <v>-1999</v>
      </c>
      <c r="H9" s="178">
        <f t="shared" ref="H9:H29" si="0">F9/C9</f>
        <v>1.054060632284934</v>
      </c>
      <c r="I9" s="178">
        <f t="shared" ref="I9:I29" si="1">F9/D9</f>
        <v>1.054060632284934</v>
      </c>
      <c r="J9" s="109"/>
      <c r="K9" s="91"/>
      <c r="L9" s="91"/>
      <c r="M9" s="110"/>
      <c r="N9" s="91"/>
    </row>
    <row r="10" spans="1:14" ht="15" x14ac:dyDescent="0.25">
      <c r="A10" s="145"/>
      <c r="B10" s="173" t="s">
        <v>785</v>
      </c>
      <c r="C10" s="97">
        <f>'Public Works Accts'!C15</f>
        <v>-950565</v>
      </c>
      <c r="D10" s="97">
        <v>-950565</v>
      </c>
      <c r="E10" s="177">
        <f>C10-D10</f>
        <v>0</v>
      </c>
      <c r="F10" s="97">
        <f>'Public Works Accts'!F15</f>
        <v>-898952</v>
      </c>
      <c r="G10" s="177">
        <f>F10-C10</f>
        <v>51613</v>
      </c>
      <c r="H10" s="178">
        <f t="shared" si="0"/>
        <v>0.94570281884984198</v>
      </c>
      <c r="I10" s="178">
        <f t="shared" si="1"/>
        <v>0.94570281884984198</v>
      </c>
      <c r="J10" s="109"/>
      <c r="K10" s="91"/>
      <c r="L10" s="91"/>
      <c r="M10" s="110"/>
      <c r="N10" s="91"/>
    </row>
    <row r="11" spans="1:14" ht="15" x14ac:dyDescent="0.25">
      <c r="A11" s="145"/>
      <c r="B11" s="173" t="s">
        <v>787</v>
      </c>
      <c r="C11" s="97">
        <f>'Public Works Accts'!C16</f>
        <v>-94222</v>
      </c>
      <c r="D11" s="97">
        <v>-94222</v>
      </c>
      <c r="E11" s="177">
        <f>C11-D11</f>
        <v>0</v>
      </c>
      <c r="F11" s="97">
        <f>'Public Works Accts'!F16</f>
        <v>-94222</v>
      </c>
      <c r="G11" s="177">
        <f>F11-C11</f>
        <v>0</v>
      </c>
      <c r="H11" s="178">
        <f t="shared" si="0"/>
        <v>1</v>
      </c>
      <c r="I11" s="178">
        <f t="shared" si="1"/>
        <v>1</v>
      </c>
      <c r="J11" s="109"/>
      <c r="K11" s="91"/>
      <c r="L11" s="91"/>
      <c r="M11" s="110"/>
      <c r="N11" s="91"/>
    </row>
    <row r="12" spans="1:14" ht="15" x14ac:dyDescent="0.25">
      <c r="A12" s="143"/>
      <c r="B12" s="173"/>
      <c r="C12" s="97"/>
      <c r="D12" s="97"/>
      <c r="E12" s="97"/>
      <c r="F12" s="97"/>
      <c r="G12" s="97"/>
      <c r="H12" s="178"/>
      <c r="I12" s="178"/>
      <c r="J12" s="109"/>
      <c r="K12" s="91"/>
      <c r="L12" s="91"/>
      <c r="M12" s="110"/>
      <c r="N12" s="91"/>
    </row>
    <row r="13" spans="1:14" ht="15" x14ac:dyDescent="0.25">
      <c r="A13" s="143" t="s">
        <v>49</v>
      </c>
      <c r="B13" s="173"/>
      <c r="C13" s="97">
        <f>SUM(C8:C12)</f>
        <v>-1181764</v>
      </c>
      <c r="D13" s="97">
        <f>SUM(D8:D12)</f>
        <v>-1081764</v>
      </c>
      <c r="E13" s="97">
        <f>SUM(E8:E12)</f>
        <v>-100000</v>
      </c>
      <c r="F13" s="97">
        <f>SUM(F8:F11)</f>
        <v>-1257150</v>
      </c>
      <c r="G13" s="97">
        <f>SUM(G8:G11)</f>
        <v>-75386</v>
      </c>
      <c r="H13" s="178">
        <f t="shared" si="0"/>
        <v>1.0637910784217492</v>
      </c>
      <c r="I13" s="178">
        <f t="shared" si="1"/>
        <v>1.1621296327110164</v>
      </c>
      <c r="J13" s="109"/>
      <c r="K13" s="91"/>
      <c r="L13" s="91"/>
      <c r="M13" s="110"/>
      <c r="N13" s="91"/>
    </row>
    <row r="14" spans="1:14" ht="15" x14ac:dyDescent="0.25">
      <c r="A14" s="184"/>
      <c r="B14" s="174"/>
      <c r="C14" s="155"/>
      <c r="D14" s="155"/>
      <c r="E14" s="155"/>
      <c r="F14" s="155"/>
      <c r="G14" s="155"/>
      <c r="H14" s="185"/>
      <c r="I14" s="185"/>
      <c r="J14" s="165"/>
      <c r="K14" s="166"/>
      <c r="L14" s="166"/>
      <c r="M14" s="167"/>
      <c r="N14" s="91"/>
    </row>
    <row r="15" spans="1:14" ht="15" x14ac:dyDescent="0.25">
      <c r="A15" s="158"/>
      <c r="B15" s="172"/>
      <c r="C15" s="151"/>
      <c r="D15" s="151"/>
      <c r="E15" s="151"/>
      <c r="F15" s="151"/>
      <c r="G15" s="151"/>
      <c r="H15" s="186"/>
      <c r="I15" s="186"/>
      <c r="J15" s="109"/>
      <c r="K15" s="91"/>
      <c r="L15" s="91"/>
      <c r="M15" s="110"/>
      <c r="N15" s="91"/>
    </row>
    <row r="16" spans="1:14" ht="15" x14ac:dyDescent="0.25">
      <c r="A16" s="143" t="s">
        <v>50</v>
      </c>
      <c r="B16" s="173"/>
      <c r="C16" s="97"/>
      <c r="D16" s="97"/>
      <c r="E16" s="97"/>
      <c r="F16" s="97"/>
      <c r="G16" s="97"/>
      <c r="H16" s="178"/>
      <c r="I16" s="178"/>
      <c r="J16" s="109"/>
      <c r="K16" s="91"/>
      <c r="L16" s="91"/>
      <c r="M16" s="110"/>
      <c r="N16" s="91"/>
    </row>
    <row r="17" spans="1:14" ht="15" x14ac:dyDescent="0.25">
      <c r="A17" s="143"/>
      <c r="B17" s="173"/>
      <c r="C17" s="97"/>
      <c r="D17" s="97"/>
      <c r="E17" s="97"/>
      <c r="F17" s="97"/>
      <c r="G17" s="97"/>
      <c r="H17" s="178"/>
      <c r="I17" s="178"/>
      <c r="J17" s="109"/>
      <c r="K17" s="91"/>
      <c r="L17" s="91"/>
      <c r="M17" s="110"/>
      <c r="N17" s="91"/>
    </row>
    <row r="18" spans="1:14" ht="15" x14ac:dyDescent="0.25">
      <c r="A18" s="181"/>
      <c r="B18" s="173" t="s">
        <v>53</v>
      </c>
      <c r="C18" s="97">
        <f>'Public Works Accts'!C22+'Public Works Accts'!C23+'Public Works Accts'!C24+'Public Works Accts'!C25+'Public Works Accts'!C26+'Public Works Accts'!C27+'Public Works Accts'!C28+'Public Works Accts'!C29+'Public Works Accts'!C30</f>
        <v>852916</v>
      </c>
      <c r="D18" s="97">
        <f>575150+194997</f>
        <v>770147</v>
      </c>
      <c r="E18" s="177">
        <f t="shared" ref="E18:E27" si="2">C18-D18</f>
        <v>82769</v>
      </c>
      <c r="F18" s="97">
        <f>'Public Works Accts'!F22+'Public Works Accts'!F23+'Public Works Accts'!F24+'Public Works Accts'!F25+'Public Works Accts'!F26+'Public Works Accts'!F27+'Public Works Accts'!F28+'Public Works Accts'!F29+'Public Works Accts'!F30</f>
        <v>917793</v>
      </c>
      <c r="G18" s="177">
        <f t="shared" ref="G18:G27" si="3">F18-C18</f>
        <v>64877</v>
      </c>
      <c r="H18" s="178">
        <f>F18/C18</f>
        <v>1.0760649348822158</v>
      </c>
      <c r="I18" s="178">
        <f>F18/D18</f>
        <v>1.1917114524889405</v>
      </c>
      <c r="J18" s="267"/>
      <c r="K18" s="91"/>
      <c r="L18" s="91"/>
      <c r="M18" s="110"/>
      <c r="N18" s="91"/>
    </row>
    <row r="19" spans="1:14" ht="15" x14ac:dyDescent="0.25">
      <c r="A19" s="145"/>
      <c r="B19" s="173" t="s">
        <v>904</v>
      </c>
      <c r="C19" s="97">
        <f>'Public Works Accts'!C31+'Public Works Accts'!C32+'Public Works Accts'!C33+'Public Works Accts'!C34+'Public Works Accts'!C35</f>
        <v>20670</v>
      </c>
      <c r="D19" s="97">
        <f>12289+5071</f>
        <v>17360</v>
      </c>
      <c r="E19" s="177">
        <f t="shared" si="2"/>
        <v>3310</v>
      </c>
      <c r="F19" s="97">
        <f>'Public Works Accts'!F31+'Public Works Accts'!F32+'Public Works Accts'!F33+'Public Works Accts'!F34+'Public Works Accts'!F35</f>
        <v>22185</v>
      </c>
      <c r="G19" s="177">
        <f t="shared" si="3"/>
        <v>1515</v>
      </c>
      <c r="H19" s="178">
        <f t="shared" si="0"/>
        <v>1.0732946298984034</v>
      </c>
      <c r="I19" s="178">
        <f t="shared" si="1"/>
        <v>1.2779377880184333</v>
      </c>
      <c r="J19" s="109"/>
      <c r="K19" s="91"/>
      <c r="L19" s="91"/>
      <c r="M19" s="110"/>
      <c r="N19" s="91"/>
    </row>
    <row r="20" spans="1:14" ht="15" x14ac:dyDescent="0.25">
      <c r="A20" s="145"/>
      <c r="B20" s="173" t="s">
        <v>905</v>
      </c>
      <c r="C20" s="97">
        <f>'Public Works Accts'!C36+'Public Works Accts'!C37+'Public Works Accts'!C38+'Public Works Accts'!C39+'Public Works Accts'!C40+'Public Works Accts'!C41+'Public Works Accts'!C42+'Public Works Accts'!C43+'Public Works Accts'!C44+'Public Works Accts'!C45</f>
        <v>123241</v>
      </c>
      <c r="D20" s="97">
        <f>36483+86758</f>
        <v>123241</v>
      </c>
      <c r="E20" s="177">
        <f t="shared" si="2"/>
        <v>0</v>
      </c>
      <c r="F20" s="97">
        <f>'Public Works Accts'!F36+'Public Works Accts'!F37+'Public Works Accts'!F38+'Public Works Accts'!F39+'Public Works Accts'!F40+'Public Works Accts'!F41+'Public Works Accts'!F42+'Public Works Accts'!F43+'Public Works Accts'!F44+'Public Works Accts'!F45</f>
        <v>180343</v>
      </c>
      <c r="G20" s="177">
        <f t="shared" si="3"/>
        <v>57102</v>
      </c>
      <c r="H20" s="178">
        <f t="shared" si="0"/>
        <v>1.4633360651082026</v>
      </c>
      <c r="I20" s="178">
        <f t="shared" si="1"/>
        <v>1.4633360651082026</v>
      </c>
      <c r="J20" s="109"/>
      <c r="K20" s="91"/>
      <c r="L20" s="91"/>
      <c r="M20" s="110"/>
      <c r="N20" s="91"/>
    </row>
    <row r="21" spans="1:14" ht="15" x14ac:dyDescent="0.25">
      <c r="A21" s="182"/>
      <c r="B21" s="173" t="s">
        <v>821</v>
      </c>
      <c r="C21" s="97">
        <f>'Public Works Accts'!C47+'Public Works Accts'!C48+'Public Works Accts'!C49+'Public Works Accts'!C50+'Public Works Accts'!C51+'Public Works Accts'!C46+'Public Works Accts'!C62</f>
        <v>387915</v>
      </c>
      <c r="D21" s="97">
        <f>239882+128862</f>
        <v>368744</v>
      </c>
      <c r="E21" s="177">
        <f t="shared" si="2"/>
        <v>19171</v>
      </c>
      <c r="F21" s="97">
        <f>'Public Works Accts'!F48+'Public Works Accts'!F49+'Public Works Accts'!F50+'Public Works Accts'!F51+'Public Works Accts'!F46+'Public Works Accts'!F47+'Public Works Accts'!F62</f>
        <v>354394</v>
      </c>
      <c r="G21" s="177">
        <f t="shared" si="3"/>
        <v>-33521</v>
      </c>
      <c r="H21" s="178">
        <f t="shared" si="0"/>
        <v>0.91358673936300483</v>
      </c>
      <c r="I21" s="178">
        <f t="shared" si="1"/>
        <v>0.96108411255505177</v>
      </c>
      <c r="J21" s="109"/>
      <c r="K21" s="91"/>
      <c r="L21" s="91"/>
      <c r="M21" s="110"/>
      <c r="N21" s="91"/>
    </row>
    <row r="22" spans="1:14" ht="15" x14ac:dyDescent="0.25">
      <c r="A22" s="181"/>
      <c r="B22" s="173" t="s">
        <v>906</v>
      </c>
      <c r="C22" s="97">
        <f>'Public Works Accts'!C52+'Public Works Accts'!C53+'Public Works Accts'!C54+'Public Works Accts'!C55+'Public Works Accts'!C56+'Public Works Accts'!C57+'Public Works Accts'!C58</f>
        <v>337800</v>
      </c>
      <c r="D22" s="97">
        <f>307952+115481</f>
        <v>423433</v>
      </c>
      <c r="E22" s="177">
        <f t="shared" si="2"/>
        <v>-85633</v>
      </c>
      <c r="F22" s="97">
        <f>'Public Works Accts'!F52+'Public Works Accts'!F53+'Public Works Accts'!F54+'Public Works Accts'!F55+'Public Works Accts'!F56+'Public Works Accts'!F57+'Public Works Accts'!F58</f>
        <v>348500</v>
      </c>
      <c r="G22" s="177">
        <f t="shared" si="3"/>
        <v>10700</v>
      </c>
      <c r="H22" s="178">
        <f t="shared" si="0"/>
        <v>1.0316755476613382</v>
      </c>
      <c r="I22" s="178">
        <f t="shared" si="1"/>
        <v>0.82303457689882464</v>
      </c>
      <c r="J22" s="112"/>
      <c r="K22" s="96"/>
      <c r="L22" s="91"/>
      <c r="M22" s="110"/>
      <c r="N22" s="91"/>
    </row>
    <row r="23" spans="1:14" ht="15" x14ac:dyDescent="0.25">
      <c r="A23" s="181"/>
      <c r="B23" s="173" t="s">
        <v>291</v>
      </c>
      <c r="C23" s="97">
        <f>'Public Works Accts'!C59</f>
        <v>0</v>
      </c>
      <c r="D23" s="97"/>
      <c r="E23" s="177">
        <f>C23-D23</f>
        <v>0</v>
      </c>
      <c r="F23" s="97">
        <f>'Public Works Accts'!F59</f>
        <v>0</v>
      </c>
      <c r="G23" s="177">
        <f t="shared" si="3"/>
        <v>0</v>
      </c>
      <c r="H23" s="178"/>
      <c r="I23" s="178" t="e">
        <f>F23/D23</f>
        <v>#DIV/0!</v>
      </c>
      <c r="J23" s="267"/>
      <c r="K23" s="91"/>
      <c r="L23" s="91"/>
      <c r="M23" s="110"/>
      <c r="N23" s="91"/>
    </row>
    <row r="24" spans="1:14" ht="15" x14ac:dyDescent="0.25">
      <c r="A24" s="145"/>
      <c r="B24" s="173" t="s">
        <v>293</v>
      </c>
      <c r="C24" s="97">
        <f>'Public Works Accts'!C60</f>
        <v>452220</v>
      </c>
      <c r="D24" s="97">
        <f>113390+338830</f>
        <v>452220</v>
      </c>
      <c r="E24" s="177">
        <f>C24-D24</f>
        <v>0</v>
      </c>
      <c r="F24" s="97">
        <f>'Public Works Accts'!F60</f>
        <v>375220</v>
      </c>
      <c r="G24" s="177">
        <f t="shared" si="3"/>
        <v>-77000</v>
      </c>
      <c r="H24" s="178">
        <f t="shared" si="0"/>
        <v>0.8297288930166733</v>
      </c>
      <c r="I24" s="178">
        <f>F24/D24</f>
        <v>0.8297288930166733</v>
      </c>
      <c r="J24" s="112"/>
      <c r="K24" s="96"/>
      <c r="L24" s="96"/>
      <c r="M24" s="113"/>
      <c r="N24" s="91"/>
    </row>
    <row r="25" spans="1:14" ht="15" x14ac:dyDescent="0.25">
      <c r="A25" s="145"/>
      <c r="B25" s="173"/>
      <c r="C25" s="97"/>
      <c r="D25" s="97"/>
      <c r="E25" s="177"/>
      <c r="F25" s="97"/>
      <c r="G25" s="177"/>
      <c r="H25" s="178"/>
      <c r="I25" s="178"/>
      <c r="J25" s="112"/>
      <c r="K25" s="96"/>
      <c r="L25" s="96"/>
      <c r="M25" s="113"/>
      <c r="N25" s="91"/>
    </row>
    <row r="26" spans="1:14" ht="15" x14ac:dyDescent="0.25">
      <c r="A26" s="145"/>
      <c r="B26" s="173" t="s">
        <v>840</v>
      </c>
      <c r="C26" s="97">
        <f>'Public Works Accts'!C61</f>
        <v>683567</v>
      </c>
      <c r="D26" s="97">
        <f>98366+485201</f>
        <v>583567</v>
      </c>
      <c r="E26" s="177">
        <f t="shared" si="2"/>
        <v>100000</v>
      </c>
      <c r="F26" s="97">
        <f>'Public Works Accts'!F61</f>
        <v>786154</v>
      </c>
      <c r="G26" s="177">
        <f t="shared" si="3"/>
        <v>102587</v>
      </c>
      <c r="H26" s="178">
        <f t="shared" si="0"/>
        <v>1.1500759984024975</v>
      </c>
      <c r="I26" s="178">
        <f t="shared" si="1"/>
        <v>1.347152940450711</v>
      </c>
      <c r="J26" s="109"/>
      <c r="K26" s="91"/>
      <c r="L26" s="91"/>
      <c r="M26" s="110"/>
      <c r="N26" s="91"/>
    </row>
    <row r="27" spans="1:14" ht="15" x14ac:dyDescent="0.25">
      <c r="A27" s="146"/>
      <c r="B27" s="173" t="s">
        <v>449</v>
      </c>
      <c r="C27" s="97">
        <f>'Public Works Accts'!C63</f>
        <v>0</v>
      </c>
      <c r="D27" s="97"/>
      <c r="E27" s="177">
        <f t="shared" si="2"/>
        <v>0</v>
      </c>
      <c r="F27" s="97">
        <f>'Public Works Accts'!F63</f>
        <v>0</v>
      </c>
      <c r="G27" s="177">
        <f t="shared" si="3"/>
        <v>0</v>
      </c>
      <c r="H27" s="178" t="e">
        <f t="shared" si="0"/>
        <v>#DIV/0!</v>
      </c>
      <c r="I27" s="178" t="e">
        <f t="shared" si="1"/>
        <v>#DIV/0!</v>
      </c>
      <c r="J27" s="109"/>
      <c r="K27" s="91"/>
      <c r="L27" s="91"/>
      <c r="M27" s="110"/>
      <c r="N27" s="91"/>
    </row>
    <row r="28" spans="1:14" ht="15" x14ac:dyDescent="0.25">
      <c r="A28" s="146"/>
      <c r="B28" s="173"/>
      <c r="C28" s="97"/>
      <c r="D28" s="97"/>
      <c r="E28" s="177"/>
      <c r="F28" s="97"/>
      <c r="G28" s="97"/>
      <c r="H28" s="178"/>
      <c r="I28" s="178"/>
      <c r="J28" s="109"/>
      <c r="K28" s="91"/>
      <c r="L28" s="91"/>
      <c r="M28" s="110"/>
      <c r="N28" s="91"/>
    </row>
    <row r="29" spans="1:14" ht="16.8" x14ac:dyDescent="0.25">
      <c r="A29" s="146" t="s">
        <v>162</v>
      </c>
      <c r="B29" s="173"/>
      <c r="C29" s="102">
        <f>SUM(C18:C27)</f>
        <v>2858329</v>
      </c>
      <c r="D29" s="102">
        <f>SUM(D18:D27)</f>
        <v>2738712</v>
      </c>
      <c r="E29" s="102">
        <f>SUM(E18:E27)</f>
        <v>119617</v>
      </c>
      <c r="F29" s="102">
        <f>SUM(F18:F27)</f>
        <v>2984589</v>
      </c>
      <c r="G29" s="102">
        <f>SUM(G18:G27)</f>
        <v>126260</v>
      </c>
      <c r="H29" s="178">
        <f t="shared" si="0"/>
        <v>1.0441726617194871</v>
      </c>
      <c r="I29" s="178">
        <f t="shared" si="1"/>
        <v>1.08977833375689</v>
      </c>
      <c r="J29" s="109" t="s">
        <v>598</v>
      </c>
      <c r="K29" s="91"/>
      <c r="L29" s="91"/>
      <c r="M29" s="110"/>
      <c r="N29" s="91"/>
    </row>
    <row r="30" spans="1:14" ht="16.8" x14ac:dyDescent="0.25">
      <c r="A30" s="164"/>
      <c r="B30" s="174"/>
      <c r="C30" s="169"/>
      <c r="D30" s="169"/>
      <c r="E30" s="169"/>
      <c r="F30" s="169"/>
      <c r="G30" s="169"/>
      <c r="H30" s="185"/>
      <c r="I30" s="185"/>
      <c r="J30" s="165"/>
      <c r="K30" s="166"/>
      <c r="L30" s="166"/>
      <c r="M30" s="167"/>
      <c r="N30" s="91"/>
    </row>
    <row r="31" spans="1:14" ht="15" x14ac:dyDescent="0.25">
      <c r="A31" s="143"/>
      <c r="B31" s="173"/>
      <c r="C31" s="97"/>
      <c r="D31" s="97"/>
      <c r="E31" s="97"/>
      <c r="F31" s="97"/>
      <c r="G31" s="97"/>
      <c r="H31" s="100"/>
      <c r="I31" s="100"/>
      <c r="J31" s="161"/>
      <c r="K31" s="162"/>
      <c r="L31" s="162"/>
      <c r="M31" s="163"/>
      <c r="N31" s="91"/>
    </row>
    <row r="32" spans="1:14" ht="16.8" x14ac:dyDescent="0.25">
      <c r="A32" s="146" t="s">
        <v>166</v>
      </c>
      <c r="B32" s="173"/>
      <c r="C32" s="103">
        <f>C13+C29</f>
        <v>1676565</v>
      </c>
      <c r="D32" s="103">
        <f>D13+D29</f>
        <v>1656948</v>
      </c>
      <c r="E32" s="103">
        <f>E13+E29</f>
        <v>19617</v>
      </c>
      <c r="F32" s="103">
        <f>F13+F29</f>
        <v>1727439</v>
      </c>
      <c r="G32" s="103">
        <f>G13+G29</f>
        <v>50874</v>
      </c>
      <c r="H32" s="100">
        <f>F32/C32</f>
        <v>1.0303441858800584</v>
      </c>
      <c r="I32" s="100">
        <f>F32/D32</f>
        <v>1.0425426748455595</v>
      </c>
      <c r="J32" s="109"/>
      <c r="K32" s="91"/>
      <c r="L32" s="91"/>
      <c r="M32" s="110"/>
      <c r="N32" s="91"/>
    </row>
    <row r="33" spans="1:13" x14ac:dyDescent="0.25">
      <c r="A33" s="183"/>
      <c r="B33" s="176"/>
      <c r="C33" s="179"/>
      <c r="D33" s="179"/>
      <c r="E33" s="179"/>
      <c r="F33" s="179"/>
      <c r="G33" s="179"/>
      <c r="H33" s="180"/>
      <c r="I33" s="180"/>
      <c r="J33" s="104"/>
      <c r="K33" s="105"/>
      <c r="L33" s="105"/>
      <c r="M33" s="117"/>
    </row>
  </sheetData>
  <mergeCells count="1">
    <mergeCell ref="J3:M3"/>
  </mergeCells>
  <conditionalFormatting sqref="A7:A9 A18:A23 A27:A30 A32">
    <cfRule type="expression" dxfId="4" priority="1" stopIfTrue="1">
      <formula>AND(COUNTIF($A$1:$A$319, A7)&gt;1,NOT(ISBLANK(A7)))</formula>
    </cfRule>
  </conditionalFormatting>
  <conditionalFormatting sqref="A10:A11">
    <cfRule type="expression" dxfId="3" priority="3" stopIfTrue="1">
      <formula>AND(COUNTIF($A$1:$A$314, A10)&gt;1,NOT(ISBLANK(A10)))</formula>
    </cfRule>
  </conditionalFormatting>
  <conditionalFormatting sqref="A24:A26">
    <cfRule type="expression" dxfId="2" priority="2" stopIfTrue="1">
      <formula>AND(COUNTIF($A$1:$A$316, A24)&gt;1,NOT(ISBLANK(A24)))</formula>
    </cfRule>
  </conditionalFormatting>
  <pageMargins left="0.7" right="0.7" top="0.75" bottom="0.75" header="0.3" footer="0.3"/>
  <pageSetup paperSize="5" scale="83" orientation="landscape" r:id="rId1"/>
  <ignoredErrors>
    <ignoredError sqref="C8 F8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M26"/>
  <sheetViews>
    <sheetView topLeftCell="A6" zoomScale="90" zoomScaleNormal="90" workbookViewId="0">
      <selection activeCell="D7" sqref="D7"/>
    </sheetView>
  </sheetViews>
  <sheetFormatPr defaultColWidth="9.33203125" defaultRowHeight="13.2" x14ac:dyDescent="0.25"/>
  <cols>
    <col min="1" max="1" width="17.33203125" style="86" customWidth="1"/>
    <col min="2" max="2" width="29.33203125" style="86" customWidth="1"/>
    <col min="3" max="3" width="15.33203125" style="88" customWidth="1"/>
    <col min="4" max="4" width="19.44140625" style="88" customWidth="1"/>
    <col min="5" max="5" width="14.5546875" style="88" customWidth="1"/>
    <col min="6" max="6" width="14.44140625" style="88" customWidth="1"/>
    <col min="7" max="7" width="17.33203125" style="88" customWidth="1"/>
    <col min="8" max="8" width="11" style="90" customWidth="1"/>
    <col min="9" max="9" width="11.44140625" style="90" customWidth="1"/>
    <col min="10" max="13" width="11" style="93" customWidth="1"/>
    <col min="14" max="14" width="11" style="86" customWidth="1"/>
    <col min="15" max="16384" width="9.33203125" style="86"/>
  </cols>
  <sheetData>
    <row r="1" spans="1:13" ht="15.6" x14ac:dyDescent="0.25">
      <c r="A1" s="129" t="s">
        <v>19</v>
      </c>
      <c r="B1" s="130"/>
      <c r="C1" s="130"/>
      <c r="D1" s="130"/>
      <c r="E1" s="130"/>
      <c r="F1" s="130"/>
      <c r="G1" s="130"/>
      <c r="H1" s="131"/>
      <c r="I1" s="132"/>
      <c r="J1" s="120"/>
      <c r="K1" s="120"/>
      <c r="L1" s="120"/>
      <c r="M1" s="120"/>
    </row>
    <row r="2" spans="1:13" ht="15.6" x14ac:dyDescent="0.25">
      <c r="A2" s="133" t="str">
        <f>'Waste Accts'!A2</f>
        <v>2026 Draft Budget</v>
      </c>
      <c r="B2" s="134"/>
      <c r="C2" s="135"/>
      <c r="D2" s="135"/>
      <c r="E2" s="135"/>
      <c r="F2" s="135"/>
      <c r="G2" s="135"/>
      <c r="H2" s="136"/>
      <c r="I2" s="136"/>
      <c r="J2" s="115"/>
      <c r="K2" s="115"/>
      <c r="L2" s="115"/>
      <c r="M2" s="115"/>
    </row>
    <row r="3" spans="1:13" ht="76.95" customHeight="1" x14ac:dyDescent="0.3">
      <c r="A3" s="187"/>
      <c r="B3" s="188"/>
      <c r="C3" s="140" t="str">
        <f>'Waste Accts'!C3</f>
        <v>2025 Budget</v>
      </c>
      <c r="D3" s="140" t="str">
        <f>Summary!C5</f>
        <v>2025 Year End Projection per Third Quarter Financials</v>
      </c>
      <c r="E3" s="140" t="str">
        <f>'Waste Accts'!E3</f>
        <v>Variance Budget to Actual</v>
      </c>
      <c r="F3" s="140" t="str">
        <f>'Waste Accts'!F3</f>
        <v>2026 Budget</v>
      </c>
      <c r="G3" s="140" t="str">
        <f>'Waste Accts'!G3</f>
        <v>Variance         Budget to Budget</v>
      </c>
      <c r="H3" s="140" t="str">
        <f>'Waste Accts'!H3</f>
        <v>% Variance Budget to Budget</v>
      </c>
      <c r="I3" s="141" t="str">
        <f>'Waste Accts'!I3</f>
        <v>% Variance 2025 Actual to 2026 Budget</v>
      </c>
      <c r="J3" s="294" t="s">
        <v>901</v>
      </c>
      <c r="K3" s="295"/>
      <c r="L3" s="295"/>
      <c r="M3" s="296"/>
    </row>
    <row r="4" spans="1:13" ht="15" x14ac:dyDescent="0.25">
      <c r="A4" s="170"/>
      <c r="B4" s="172"/>
      <c r="C4" s="151"/>
      <c r="D4" s="151"/>
      <c r="E4" s="151"/>
      <c r="F4" s="151"/>
      <c r="G4" s="151"/>
      <c r="H4" s="152"/>
      <c r="I4" s="153"/>
      <c r="J4" s="109"/>
      <c r="K4" s="91"/>
      <c r="L4" s="91"/>
      <c r="M4" s="110"/>
    </row>
    <row r="5" spans="1:13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9"/>
      <c r="J5" s="109"/>
      <c r="K5" s="91"/>
      <c r="L5" s="91"/>
      <c r="M5" s="110"/>
    </row>
    <row r="6" spans="1:13" ht="15" x14ac:dyDescent="0.25">
      <c r="A6" s="144"/>
      <c r="B6" s="173" t="s">
        <v>902</v>
      </c>
      <c r="C6" s="97">
        <f>'Waste Accts'!C7+'Waste Accts'!C8+'Waste Accts'!C9+'Waste Accts'!C10+'Waste Accts'!C11+'Waste Accts'!C12+'Waste Accts'!C13+'Waste Accts'!C14+'Waste Accts'!C15</f>
        <v>-122150</v>
      </c>
      <c r="D6" s="97">
        <v>-79650</v>
      </c>
      <c r="E6" s="97">
        <f>C6-D6</f>
        <v>-42500</v>
      </c>
      <c r="F6" s="97">
        <f>'Waste Accts'!F7+'Waste Accts'!F8+'Waste Accts'!F9+'Waste Accts'!F10+'Waste Accts'!F11+'Waste Accts'!F12+'Waste Accts'!F13+'Waste Accts'!F14+'Waste Accts'!F15</f>
        <v>-87115</v>
      </c>
      <c r="G6" s="97">
        <f>F6-C6</f>
        <v>35035</v>
      </c>
      <c r="H6" s="100">
        <f>F6/C6</f>
        <v>0.71318051575931229</v>
      </c>
      <c r="I6" s="101">
        <f>F6/D6</f>
        <v>1.0937225360954175</v>
      </c>
      <c r="J6" s="111"/>
      <c r="K6" s="96"/>
      <c r="L6" s="91"/>
      <c r="M6" s="110"/>
    </row>
    <row r="7" spans="1:13" ht="15" x14ac:dyDescent="0.25">
      <c r="A7" s="145"/>
      <c r="B7" s="173" t="s">
        <v>320</v>
      </c>
      <c r="C7" s="97">
        <f>'Waste Accts'!C16</f>
        <v>-55313</v>
      </c>
      <c r="D7" s="97">
        <v>-55313</v>
      </c>
      <c r="E7" s="97">
        <f>C7-D7</f>
        <v>0</v>
      </c>
      <c r="F7" s="97">
        <f>'Waste Accts'!F16</f>
        <v>-71411</v>
      </c>
      <c r="G7" s="97">
        <f>F7-C7</f>
        <v>-16098</v>
      </c>
      <c r="H7" s="100">
        <f t="shared" ref="H7:H20" si="0">F7/C7</f>
        <v>1.2910346573138323</v>
      </c>
      <c r="I7" s="101">
        <f t="shared" ref="I7:I20" si="1">F7/D7</f>
        <v>1.2910346573138323</v>
      </c>
      <c r="J7" s="109"/>
      <c r="K7" s="91"/>
      <c r="L7" s="91"/>
      <c r="M7" s="110"/>
    </row>
    <row r="8" spans="1:13" ht="15" x14ac:dyDescent="0.25">
      <c r="A8" s="142"/>
      <c r="B8" s="173"/>
      <c r="C8" s="97"/>
      <c r="D8" s="97"/>
      <c r="E8" s="97"/>
      <c r="F8" s="97"/>
      <c r="G8" s="97"/>
      <c r="H8" s="100"/>
      <c r="I8" s="101"/>
      <c r="J8" s="109"/>
      <c r="K8" s="91"/>
      <c r="L8" s="91"/>
      <c r="M8" s="110"/>
    </row>
    <row r="9" spans="1:13" ht="15" x14ac:dyDescent="0.25">
      <c r="A9" s="143" t="s">
        <v>49</v>
      </c>
      <c r="B9" s="173"/>
      <c r="C9" s="97">
        <f>SUM(C6:C8)</f>
        <v>-177463</v>
      </c>
      <c r="D9" s="97">
        <f>SUM(D6:D8)</f>
        <v>-134963</v>
      </c>
      <c r="E9" s="97">
        <f>SUM(E6:E8)</f>
        <v>-42500</v>
      </c>
      <c r="F9" s="97">
        <f>SUM(F6:F8)</f>
        <v>-158526</v>
      </c>
      <c r="G9" s="97">
        <f>SUM(G6:G8)</f>
        <v>18937</v>
      </c>
      <c r="H9" s="100">
        <f t="shared" si="0"/>
        <v>0.89329043237181838</v>
      </c>
      <c r="I9" s="101">
        <f t="shared" si="1"/>
        <v>1.1745885909471485</v>
      </c>
      <c r="J9" s="109"/>
      <c r="K9" s="91"/>
      <c r="L9" s="91"/>
      <c r="M9" s="110"/>
    </row>
    <row r="10" spans="1:13" ht="15" x14ac:dyDescent="0.25">
      <c r="A10" s="154"/>
      <c r="B10" s="174"/>
      <c r="C10" s="155"/>
      <c r="D10" s="155"/>
      <c r="E10" s="155"/>
      <c r="F10" s="155"/>
      <c r="G10" s="155"/>
      <c r="H10" s="156"/>
      <c r="I10" s="157"/>
      <c r="J10" s="109"/>
      <c r="K10" s="91"/>
      <c r="L10" s="91"/>
      <c r="M10" s="110"/>
    </row>
    <row r="11" spans="1:13" ht="15" x14ac:dyDescent="0.25">
      <c r="A11" s="158" t="s">
        <v>50</v>
      </c>
      <c r="B11" s="172"/>
      <c r="C11" s="151"/>
      <c r="D11" s="151"/>
      <c r="E11" s="151"/>
      <c r="F11" s="151"/>
      <c r="G11" s="151"/>
      <c r="H11" s="159"/>
      <c r="I11" s="160"/>
      <c r="J11" s="161"/>
      <c r="K11" s="162"/>
      <c r="L11" s="162"/>
      <c r="M11" s="163"/>
    </row>
    <row r="12" spans="1:13" ht="15" x14ac:dyDescent="0.25">
      <c r="A12" s="142"/>
      <c r="B12" s="173"/>
      <c r="C12" s="97"/>
      <c r="D12" s="97"/>
      <c r="E12" s="97"/>
      <c r="F12" s="97"/>
      <c r="G12" s="97"/>
      <c r="H12" s="100"/>
      <c r="I12" s="101"/>
      <c r="J12" s="109"/>
      <c r="K12" s="91"/>
      <c r="L12" s="91"/>
      <c r="M12" s="110"/>
    </row>
    <row r="13" spans="1:13" ht="15" x14ac:dyDescent="0.25">
      <c r="A13" s="146"/>
      <c r="B13" s="173" t="s">
        <v>903</v>
      </c>
      <c r="C13" s="97">
        <f>'Waste Accts'!C22+'Waste Accts'!C23+'Waste Accts'!C24+'Waste Accts'!C25+'Waste Accts'!C26+'Waste Accts'!C27+'Waste Accts'!C28+'Waste Accts'!C29+'Waste Accts'!C30</f>
        <v>201993</v>
      </c>
      <c r="D13" s="97">
        <f>140405+61588</f>
        <v>201993</v>
      </c>
      <c r="E13" s="97">
        <f t="shared" ref="E13:E20" si="2">C13-D13</f>
        <v>0</v>
      </c>
      <c r="F13" s="97">
        <f>'Waste Accts'!F22+'Waste Accts'!F23+'Waste Accts'!F24+'Waste Accts'!F25+'Waste Accts'!F26+'Waste Accts'!F27+'Waste Accts'!F28+'Waste Accts'!F29+'Waste Accts'!F30</f>
        <v>227188</v>
      </c>
      <c r="G13" s="97">
        <f>F13-C13</f>
        <v>25195</v>
      </c>
      <c r="H13" s="100">
        <f t="shared" si="0"/>
        <v>1.1247320451698821</v>
      </c>
      <c r="I13" s="101">
        <f t="shared" si="1"/>
        <v>1.1247320451698821</v>
      </c>
      <c r="J13" s="109"/>
      <c r="K13" s="91"/>
      <c r="L13" s="91"/>
      <c r="M13" s="110"/>
    </row>
    <row r="14" spans="1:13" ht="15" x14ac:dyDescent="0.25">
      <c r="A14" s="146"/>
      <c r="B14" s="173" t="s">
        <v>904</v>
      </c>
      <c r="C14" s="97">
        <f>'Waste Accts'!C31</f>
        <v>1200</v>
      </c>
      <c r="D14" s="97">
        <f>183+1017</f>
        <v>1200</v>
      </c>
      <c r="E14" s="97">
        <f t="shared" si="2"/>
        <v>0</v>
      </c>
      <c r="F14" s="97">
        <f>'Waste Accts'!F31</f>
        <v>1255</v>
      </c>
      <c r="G14" s="97">
        <f t="shared" ref="G14:G20" si="3">F14-C14</f>
        <v>55</v>
      </c>
      <c r="H14" s="100">
        <f t="shared" si="0"/>
        <v>1.0458333333333334</v>
      </c>
      <c r="I14" s="101">
        <f t="shared" si="1"/>
        <v>1.0458333333333334</v>
      </c>
      <c r="J14" s="109"/>
      <c r="K14" s="91"/>
      <c r="L14" s="91"/>
      <c r="M14" s="110"/>
    </row>
    <row r="15" spans="1:13" ht="15" x14ac:dyDescent="0.25">
      <c r="A15" s="146"/>
      <c r="B15" s="173" t="s">
        <v>905</v>
      </c>
      <c r="C15" s="97">
        <f>'Waste Accts'!C32+'Waste Accts'!C33+'Waste Accts'!C34+'Waste Accts'!C35+'Waste Accts'!C36+'Waste Accts'!C37+'Waste Accts'!C38+'Waste Accts'!C39+'Waste Accts'!C46</f>
        <v>474582</v>
      </c>
      <c r="D15" s="97">
        <f>286542+198040</f>
        <v>484582</v>
      </c>
      <c r="E15" s="97">
        <f t="shared" si="2"/>
        <v>-10000</v>
      </c>
      <c r="F15" s="97">
        <f>'Waste Accts'!F32+'Waste Accts'!F33+'Waste Accts'!F34+'Waste Accts'!F35+'Waste Accts'!F36+'Waste Accts'!F37+'Waste Accts'!F38+'Waste Accts'!F39+'Waste Accts'!F46</f>
        <v>514567</v>
      </c>
      <c r="G15" s="97">
        <f t="shared" si="3"/>
        <v>39985</v>
      </c>
      <c r="H15" s="100">
        <f t="shared" si="0"/>
        <v>1.0842530900876983</v>
      </c>
      <c r="I15" s="101">
        <f t="shared" si="1"/>
        <v>1.0618780722354524</v>
      </c>
      <c r="J15" s="112"/>
      <c r="K15" s="96"/>
      <c r="L15" s="91"/>
      <c r="M15" s="110"/>
    </row>
    <row r="16" spans="1:13" ht="15" x14ac:dyDescent="0.25">
      <c r="A16" s="146"/>
      <c r="B16" s="173" t="s">
        <v>821</v>
      </c>
      <c r="C16" s="97">
        <f>'Waste Accts'!C40+'Waste Accts'!C41+'Waste Accts'!C42+'Waste Accts'!C43+'Waste Accts'!C44+'Waste Accts'!C45</f>
        <v>6750</v>
      </c>
      <c r="D16" s="97">
        <f>3799+2951</f>
        <v>6750</v>
      </c>
      <c r="E16" s="97">
        <f t="shared" si="2"/>
        <v>0</v>
      </c>
      <c r="F16" s="97">
        <f>'Waste Accts'!F40+'Waste Accts'!F41+'Waste Accts'!F42+'Waste Accts'!F43+'Waste Accts'!F44+'Waste Accts'!F45</f>
        <v>4750</v>
      </c>
      <c r="G16" s="97">
        <f t="shared" si="3"/>
        <v>-2000</v>
      </c>
      <c r="H16" s="100">
        <f t="shared" si="0"/>
        <v>0.70370370370370372</v>
      </c>
      <c r="I16" s="101">
        <f t="shared" si="1"/>
        <v>0.70370370370370372</v>
      </c>
      <c r="J16" s="112"/>
      <c r="K16" s="91"/>
      <c r="L16" s="91"/>
      <c r="M16" s="110"/>
    </row>
    <row r="17" spans="1:13" ht="15" x14ac:dyDescent="0.25">
      <c r="A17" s="146"/>
      <c r="B17" s="173" t="s">
        <v>906</v>
      </c>
      <c r="C17" s="97">
        <f>'Waste Accts'!C47+'Waste Accts'!C48+'Waste Accts'!C49+'Waste Accts'!C50</f>
        <v>14500</v>
      </c>
      <c r="D17" s="97">
        <f>7824+10676</f>
        <v>18500</v>
      </c>
      <c r="E17" s="97">
        <f t="shared" si="2"/>
        <v>-4000</v>
      </c>
      <c r="F17" s="97">
        <f>'Waste Accts'!F47+'Waste Accts'!F48+'Waste Accts'!F49+'Waste Accts'!F50</f>
        <v>15850</v>
      </c>
      <c r="G17" s="97">
        <f t="shared" si="3"/>
        <v>1350</v>
      </c>
      <c r="H17" s="100">
        <f t="shared" si="0"/>
        <v>1.0931034482758621</v>
      </c>
      <c r="I17" s="101">
        <f t="shared" si="1"/>
        <v>0.85675675675675678</v>
      </c>
      <c r="J17" s="112"/>
      <c r="K17" s="96"/>
      <c r="L17" s="91"/>
      <c r="M17" s="110"/>
    </row>
    <row r="18" spans="1:13" ht="15" x14ac:dyDescent="0.25">
      <c r="A18" s="146"/>
      <c r="B18" s="173" t="s">
        <v>907</v>
      </c>
      <c r="C18" s="97">
        <f>'Waste Accts'!C51+'Waste Accts'!C52</f>
        <v>56911</v>
      </c>
      <c r="D18" s="97">
        <f>7940+21471</f>
        <v>29411</v>
      </c>
      <c r="E18" s="97">
        <f t="shared" si="2"/>
        <v>27500</v>
      </c>
      <c r="F18" s="97">
        <f>'Waste Accts'!F51+'Waste Accts'!F52</f>
        <v>31500</v>
      </c>
      <c r="G18" s="97">
        <f t="shared" si="3"/>
        <v>-25411</v>
      </c>
      <c r="H18" s="100">
        <f t="shared" si="0"/>
        <v>0.55349580924601571</v>
      </c>
      <c r="I18" s="101">
        <f t="shared" si="1"/>
        <v>1.0710278467240149</v>
      </c>
      <c r="J18" s="112"/>
      <c r="K18" s="96"/>
      <c r="L18" s="96"/>
      <c r="M18" s="113"/>
    </row>
    <row r="19" spans="1:13" ht="15" x14ac:dyDescent="0.25">
      <c r="A19" s="146"/>
      <c r="B19" s="173" t="s">
        <v>899</v>
      </c>
      <c r="C19" s="97">
        <f>'Waste Accts'!C53</f>
        <v>0</v>
      </c>
      <c r="D19" s="97"/>
      <c r="E19" s="97">
        <f t="shared" si="2"/>
        <v>0</v>
      </c>
      <c r="F19" s="97">
        <f>'Waste Accts'!F53</f>
        <v>1500</v>
      </c>
      <c r="G19" s="97">
        <f t="shared" si="3"/>
        <v>1500</v>
      </c>
      <c r="H19" s="100" t="e">
        <f t="shared" si="0"/>
        <v>#DIV/0!</v>
      </c>
      <c r="I19" s="101" t="e">
        <f t="shared" si="1"/>
        <v>#DIV/0!</v>
      </c>
      <c r="J19" s="109"/>
      <c r="K19" s="91"/>
      <c r="L19" s="91"/>
      <c r="M19" s="110"/>
    </row>
    <row r="20" spans="1:13" ht="15" x14ac:dyDescent="0.25">
      <c r="A20" s="146"/>
      <c r="B20" s="173" t="s">
        <v>115</v>
      </c>
      <c r="C20" s="97">
        <f>'Waste Accts'!C54</f>
        <v>0</v>
      </c>
      <c r="D20" s="97"/>
      <c r="E20" s="97">
        <f t="shared" si="2"/>
        <v>0</v>
      </c>
      <c r="F20" s="97">
        <f>'Waste Accts'!F54</f>
        <v>0</v>
      </c>
      <c r="G20" s="97">
        <f t="shared" si="3"/>
        <v>0</v>
      </c>
      <c r="H20" s="100" t="e">
        <f t="shared" si="0"/>
        <v>#DIV/0!</v>
      </c>
      <c r="I20" s="101" t="e">
        <f t="shared" si="1"/>
        <v>#DIV/0!</v>
      </c>
      <c r="J20" s="109"/>
      <c r="K20" s="91"/>
      <c r="L20" s="91"/>
      <c r="M20" s="110"/>
    </row>
    <row r="21" spans="1:13" ht="15" x14ac:dyDescent="0.25">
      <c r="A21" s="142"/>
      <c r="B21" s="173"/>
      <c r="C21" s="97"/>
      <c r="D21" s="97"/>
      <c r="E21" s="97"/>
      <c r="F21" s="97"/>
      <c r="G21" s="97"/>
      <c r="H21" s="100"/>
      <c r="I21" s="101"/>
      <c r="J21" s="109"/>
      <c r="K21" s="91"/>
      <c r="L21" s="91"/>
      <c r="M21" s="110"/>
    </row>
    <row r="22" spans="1:13" ht="16.8" x14ac:dyDescent="0.25">
      <c r="A22" s="147" t="s">
        <v>162</v>
      </c>
      <c r="B22" s="173"/>
      <c r="C22" s="102">
        <f>SUM(C13:C21)</f>
        <v>755936</v>
      </c>
      <c r="D22" s="102">
        <f>SUM(D13:D21)</f>
        <v>742436</v>
      </c>
      <c r="E22" s="102">
        <f>SUM(E13:E21)</f>
        <v>13500</v>
      </c>
      <c r="F22" s="102">
        <f>SUM(F13:F21)</f>
        <v>796610</v>
      </c>
      <c r="G22" s="102">
        <f>SUM(G13:G21)</f>
        <v>40674</v>
      </c>
      <c r="H22" s="100">
        <f>F22/C22</f>
        <v>1.0538061423189264</v>
      </c>
      <c r="I22" s="101">
        <f>F22/D22</f>
        <v>1.0729679056511268</v>
      </c>
      <c r="J22" s="109"/>
      <c r="K22" s="91"/>
      <c r="L22" s="91"/>
      <c r="M22" s="110"/>
    </row>
    <row r="23" spans="1:13" ht="16.8" x14ac:dyDescent="0.25">
      <c r="A23" s="168"/>
      <c r="B23" s="174"/>
      <c r="C23" s="169"/>
      <c r="D23" s="169"/>
      <c r="E23" s="169"/>
      <c r="F23" s="169"/>
      <c r="G23" s="169"/>
      <c r="H23" s="156"/>
      <c r="I23" s="157"/>
      <c r="J23" s="165"/>
      <c r="K23" s="166"/>
      <c r="L23" s="166"/>
      <c r="M23" s="167"/>
    </row>
    <row r="24" spans="1:13" ht="15" x14ac:dyDescent="0.25">
      <c r="A24" s="150"/>
      <c r="B24" s="172"/>
      <c r="C24" s="151"/>
      <c r="D24" s="151"/>
      <c r="E24" s="151"/>
      <c r="F24" s="151"/>
      <c r="G24" s="151"/>
      <c r="H24" s="159"/>
      <c r="I24" s="160"/>
      <c r="J24" s="109"/>
      <c r="K24" s="91"/>
      <c r="L24" s="91"/>
      <c r="M24" s="110"/>
    </row>
    <row r="25" spans="1:13" ht="16.8" x14ac:dyDescent="0.25">
      <c r="A25" s="146" t="s">
        <v>166</v>
      </c>
      <c r="B25" s="175"/>
      <c r="C25" s="103">
        <f>C9+C22</f>
        <v>578473</v>
      </c>
      <c r="D25" s="103">
        <f>D9+D22</f>
        <v>607473</v>
      </c>
      <c r="E25" s="103">
        <f>E9+E22</f>
        <v>-29000</v>
      </c>
      <c r="F25" s="103">
        <f>F9+F22</f>
        <v>638084</v>
      </c>
      <c r="G25" s="103">
        <f>G9+G22</f>
        <v>59611</v>
      </c>
      <c r="H25" s="100">
        <f>F25/C25</f>
        <v>1.1030488890579162</v>
      </c>
      <c r="I25" s="101">
        <f>F25/D25</f>
        <v>1.0503907169536753</v>
      </c>
      <c r="J25" s="109"/>
      <c r="K25" s="91"/>
      <c r="L25" s="91"/>
      <c r="M25" s="110"/>
    </row>
    <row r="26" spans="1:13" x14ac:dyDescent="0.25">
      <c r="A26" s="148"/>
      <c r="B26" s="176"/>
      <c r="C26" s="106"/>
      <c r="D26" s="106"/>
      <c r="E26" s="106"/>
      <c r="F26" s="106"/>
      <c r="G26" s="106"/>
      <c r="H26" s="107"/>
      <c r="I26" s="108"/>
      <c r="J26" s="114"/>
      <c r="K26" s="115"/>
      <c r="L26" s="115"/>
      <c r="M26" s="116"/>
    </row>
  </sheetData>
  <mergeCells count="1">
    <mergeCell ref="J3:M3"/>
  </mergeCells>
  <conditionalFormatting sqref="A6 A13:A20 A22:A23 A25:B25">
    <cfRule type="expression" dxfId="1" priority="1" stopIfTrue="1">
      <formula>AND(COUNTIF($A$1:$A$314, A6)&gt;1,NOT(ISBLANK(A6)))</formula>
    </cfRule>
  </conditionalFormatting>
  <conditionalFormatting sqref="A7">
    <cfRule type="expression" dxfId="0" priority="2" stopIfTrue="1">
      <formula>AND(COUNTIF($A$1:$A$312, A7)&gt;1,NOT(ISBLANK(A7)))</formula>
    </cfRule>
  </conditionalFormatting>
  <pageMargins left="0.7" right="0.7" top="0.75" bottom="0.75" header="0.3" footer="0.3"/>
  <pageSetup paperSize="5" scale="7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J14"/>
  <sheetViews>
    <sheetView zoomScaleNormal="100" workbookViewId="0">
      <selection activeCell="F11" sqref="F11"/>
    </sheetView>
  </sheetViews>
  <sheetFormatPr defaultRowHeight="13.2" x14ac:dyDescent="0.25"/>
  <cols>
    <col min="1" max="1" width="23.6640625" customWidth="1"/>
    <col min="2" max="2" width="31.6640625" customWidth="1"/>
    <col min="3" max="3" width="13.6640625" style="2" customWidth="1"/>
    <col min="4" max="4" width="20" style="2" customWidth="1"/>
    <col min="5" max="7" width="13.6640625" style="2" customWidth="1"/>
    <col min="8" max="8" width="13.6640625" style="47" customWidth="1"/>
    <col min="9" max="9" width="16.5546875" style="47" customWidth="1"/>
  </cols>
  <sheetData>
    <row r="1" spans="1:10" ht="15.6" x14ac:dyDescent="0.3">
      <c r="A1" s="289" t="s">
        <v>9</v>
      </c>
      <c r="B1" s="289"/>
      <c r="C1" s="289"/>
      <c r="D1" s="289"/>
      <c r="E1" s="289"/>
      <c r="F1" s="289"/>
      <c r="G1" s="289"/>
      <c r="H1" s="50"/>
      <c r="I1" s="46"/>
    </row>
    <row r="2" spans="1:10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10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0" ht="15" x14ac:dyDescent="0.25">
      <c r="A4" s="10" t="s">
        <v>22</v>
      </c>
      <c r="B4" s="6"/>
      <c r="C4" s="9"/>
      <c r="D4" s="9"/>
      <c r="E4" s="9"/>
      <c r="F4" s="9"/>
      <c r="G4" s="9"/>
      <c r="H4" s="45"/>
      <c r="I4" s="45"/>
    </row>
    <row r="5" spans="1:10" ht="15.6" x14ac:dyDescent="0.3">
      <c r="A5" s="41"/>
      <c r="B5" s="6"/>
      <c r="C5" s="9"/>
      <c r="D5" s="9"/>
      <c r="E5" s="9"/>
      <c r="F5" s="9"/>
      <c r="G5" s="9"/>
      <c r="H5" s="45"/>
      <c r="I5" s="45"/>
    </row>
    <row r="6" spans="1:10" ht="15" x14ac:dyDescent="0.25">
      <c r="A6" s="6" t="s">
        <v>167</v>
      </c>
      <c r="B6" s="6" t="s">
        <v>38</v>
      </c>
      <c r="C6" s="61">
        <v>0</v>
      </c>
      <c r="D6" s="61">
        <v>0</v>
      </c>
      <c r="E6" s="7">
        <f>C6-D6</f>
        <v>0</v>
      </c>
      <c r="F6" s="61"/>
      <c r="G6" s="7">
        <f>F6-C6</f>
        <v>0</v>
      </c>
      <c r="H6" s="58" t="e">
        <f>F6/C6</f>
        <v>#DIV/0!</v>
      </c>
      <c r="I6" s="58" t="e">
        <f>F6/D6</f>
        <v>#DIV/0!</v>
      </c>
    </row>
    <row r="7" spans="1:10" ht="15.6" x14ac:dyDescent="0.3">
      <c r="A7" s="41"/>
      <c r="B7" s="6"/>
      <c r="C7" s="61"/>
      <c r="D7" s="61"/>
      <c r="E7" s="9"/>
      <c r="F7" s="9"/>
      <c r="G7" s="9"/>
      <c r="H7" s="45"/>
      <c r="I7" s="45"/>
    </row>
    <row r="8" spans="1:10" ht="15" x14ac:dyDescent="0.25">
      <c r="A8" s="6" t="s">
        <v>49</v>
      </c>
      <c r="B8" s="6"/>
      <c r="C8" s="61">
        <f>SUM(C6:C7)</f>
        <v>0</v>
      </c>
      <c r="D8" s="61">
        <f>SUM(D6:D7)</f>
        <v>0</v>
      </c>
      <c r="E8" s="7">
        <f>C8-D8</f>
        <v>0</v>
      </c>
      <c r="F8" s="61">
        <f>SUM(F6:F7)</f>
        <v>0</v>
      </c>
      <c r="G8" s="7">
        <f>F8-C8</f>
        <v>0</v>
      </c>
      <c r="H8" s="48" t="e">
        <f>F8/C8</f>
        <v>#DIV/0!</v>
      </c>
      <c r="I8" s="48" t="e">
        <f>F8/D8</f>
        <v>#DIV/0!</v>
      </c>
    </row>
    <row r="9" spans="1:10" ht="15" x14ac:dyDescent="0.25">
      <c r="A9" s="6"/>
      <c r="B9" s="6"/>
      <c r="C9" s="7"/>
      <c r="D9" s="7"/>
      <c r="E9" s="7"/>
      <c r="F9" s="7"/>
      <c r="G9" s="7"/>
      <c r="H9" s="46"/>
      <c r="I9" s="46"/>
    </row>
    <row r="10" spans="1:10" ht="15" x14ac:dyDescent="0.25">
      <c r="A10" s="24" t="s">
        <v>168</v>
      </c>
      <c r="B10" s="6" t="s">
        <v>169</v>
      </c>
      <c r="C10" s="7">
        <v>98176</v>
      </c>
      <c r="D10" s="7"/>
      <c r="E10" s="7">
        <f>C10-D10</f>
        <v>98176</v>
      </c>
      <c r="F10" s="7">
        <v>100653</v>
      </c>
      <c r="G10" s="7">
        <f>F10-C10</f>
        <v>2477</v>
      </c>
      <c r="H10" s="48">
        <f>F10/C10</f>
        <v>1.0252301988265971</v>
      </c>
      <c r="I10" s="48" t="e">
        <f>F10/D10</f>
        <v>#DIV/0!</v>
      </c>
      <c r="J10" s="4"/>
    </row>
    <row r="11" spans="1:10" ht="15" x14ac:dyDescent="0.25">
      <c r="A11" s="6"/>
      <c r="B11" s="6"/>
      <c r="C11" s="7"/>
      <c r="D11" s="7"/>
      <c r="E11" s="7"/>
      <c r="F11" s="7"/>
      <c r="G11" s="7"/>
      <c r="H11" s="46"/>
      <c r="I11" s="46"/>
      <c r="J11" s="4"/>
    </row>
    <row r="12" spans="1:10" ht="15" x14ac:dyDescent="0.25">
      <c r="A12" s="6" t="s">
        <v>162</v>
      </c>
      <c r="B12" s="6"/>
      <c r="C12" s="7">
        <f>C10</f>
        <v>98176</v>
      </c>
      <c r="D12" s="7">
        <f>D10</f>
        <v>0</v>
      </c>
      <c r="E12" s="7">
        <f>E10</f>
        <v>98176</v>
      </c>
      <c r="F12" s="7">
        <f>F10</f>
        <v>100653</v>
      </c>
      <c r="G12" s="7">
        <f>G10</f>
        <v>2477</v>
      </c>
      <c r="H12" s="48">
        <f>F12/C12</f>
        <v>1.0252301988265971</v>
      </c>
      <c r="I12" s="48" t="e">
        <f>F12/D12</f>
        <v>#DIV/0!</v>
      </c>
    </row>
    <row r="13" spans="1:10" ht="15" x14ac:dyDescent="0.25">
      <c r="A13" s="6"/>
      <c r="B13" s="6"/>
      <c r="C13" s="7"/>
      <c r="D13" s="7"/>
      <c r="E13" s="7"/>
      <c r="F13" s="7"/>
      <c r="G13" s="7"/>
      <c r="H13" s="46"/>
      <c r="I13" s="46"/>
    </row>
    <row r="14" spans="1:10" ht="16.8" x14ac:dyDescent="0.4">
      <c r="A14" s="10" t="s">
        <v>166</v>
      </c>
      <c r="B14" s="6"/>
      <c r="C14" s="13">
        <f>C8+C12</f>
        <v>98176</v>
      </c>
      <c r="D14" s="13">
        <f>D8+D12</f>
        <v>0</v>
      </c>
      <c r="E14" s="13">
        <f>E8+E12</f>
        <v>98176</v>
      </c>
      <c r="F14" s="13">
        <f>F8+F12</f>
        <v>100653</v>
      </c>
      <c r="G14" s="13">
        <f>G8+G12</f>
        <v>2477</v>
      </c>
      <c r="H14" s="48">
        <f>F14/C14</f>
        <v>1.0252301988265971</v>
      </c>
      <c r="I14" s="48" t="e">
        <f>F14/D14</f>
        <v>#DIV/0!</v>
      </c>
    </row>
  </sheetData>
  <mergeCells count="1">
    <mergeCell ref="A1:G1"/>
  </mergeCells>
  <phoneticPr fontId="1" type="noConversion"/>
  <conditionalFormatting sqref="A10">
    <cfRule type="expression" dxfId="73" priority="1" stopIfTrue="1">
      <formula>AND(COUNTIF($A$1:$A$343, A10)&gt;1,NOT(ISBLANK(A10)))</formula>
    </cfRule>
  </conditionalFormatting>
  <pageMargins left="0.75" right="0.75" top="1" bottom="1" header="0.5" footer="0.5"/>
  <pageSetup scale="70" orientation="portrait" verticalDpi="200" r:id="rId1"/>
  <headerFooter alignWithMargins="0"/>
  <ignoredErrors>
    <ignoredError sqref="H6:I6 H8:I8" evalError="1"/>
    <ignoredError sqref="E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J28"/>
  <sheetViews>
    <sheetView workbookViewId="0">
      <pane ySplit="3" topLeftCell="A8" activePane="bottomLeft" state="frozen"/>
      <selection activeCell="F52" sqref="F52"/>
      <selection pane="bottomLeft" activeCell="F14" sqref="F14"/>
    </sheetView>
  </sheetViews>
  <sheetFormatPr defaultRowHeight="13.2" x14ac:dyDescent="0.25"/>
  <cols>
    <col min="1" max="1" width="21.5546875" customWidth="1"/>
    <col min="2" max="2" width="26.5546875" customWidth="1"/>
    <col min="3" max="3" width="13.44140625" style="1" customWidth="1"/>
    <col min="4" max="4" width="20.33203125" style="1" customWidth="1"/>
    <col min="5" max="7" width="13.44140625" style="1" customWidth="1"/>
    <col min="8" max="8" width="13.44140625" style="47" customWidth="1"/>
    <col min="9" max="9" width="15.6640625" style="47" customWidth="1"/>
  </cols>
  <sheetData>
    <row r="1" spans="1:10" ht="15.6" x14ac:dyDescent="0.3">
      <c r="A1" s="289" t="s">
        <v>10</v>
      </c>
      <c r="B1" s="289"/>
      <c r="C1" s="289"/>
      <c r="D1" s="289"/>
      <c r="E1" s="289"/>
      <c r="F1" s="289"/>
      <c r="G1" s="289"/>
      <c r="H1" s="50"/>
      <c r="I1" s="46"/>
    </row>
    <row r="2" spans="1:10" ht="15.6" x14ac:dyDescent="0.3">
      <c r="A2" s="41" t="str">
        <f>'Bldg ByLaw Accts'!A2</f>
        <v>2026 Draft Budget</v>
      </c>
      <c r="B2" s="6"/>
      <c r="C2" s="14"/>
      <c r="D2" s="14"/>
      <c r="E2" s="14"/>
      <c r="F2" s="14"/>
      <c r="G2" s="14"/>
      <c r="H2" s="46"/>
      <c r="I2" s="46"/>
    </row>
    <row r="3" spans="1:10" ht="45.6" x14ac:dyDescent="0.3">
      <c r="A3" s="41"/>
      <c r="B3" s="69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0" ht="15" x14ac:dyDescent="0.25">
      <c r="A4" s="6"/>
      <c r="B4" s="6"/>
      <c r="C4" s="14"/>
      <c r="D4" s="14"/>
      <c r="E4" s="14"/>
      <c r="F4" s="14"/>
      <c r="G4" s="14"/>
      <c r="H4" s="46"/>
      <c r="I4" s="46"/>
    </row>
    <row r="5" spans="1:10" ht="15" x14ac:dyDescent="0.25">
      <c r="A5" s="10" t="s">
        <v>22</v>
      </c>
      <c r="B5" s="6"/>
      <c r="C5" s="14"/>
      <c r="D5" s="14"/>
      <c r="E5" s="14"/>
      <c r="F5" s="14"/>
      <c r="G5" s="14"/>
      <c r="H5" s="48"/>
      <c r="I5" s="48"/>
    </row>
    <row r="6" spans="1:10" ht="15" x14ac:dyDescent="0.25">
      <c r="A6" s="10"/>
      <c r="B6" s="6"/>
      <c r="C6" s="14"/>
      <c r="D6" s="14"/>
      <c r="E6" s="14"/>
      <c r="F6" s="14"/>
      <c r="G6" s="14"/>
      <c r="H6" s="46"/>
      <c r="I6" s="46"/>
    </row>
    <row r="7" spans="1:10" ht="15" x14ac:dyDescent="0.25">
      <c r="A7" s="10" t="s">
        <v>170</v>
      </c>
      <c r="B7" s="6" t="s">
        <v>171</v>
      </c>
      <c r="C7" s="14">
        <v>0</v>
      </c>
      <c r="D7" s="14"/>
      <c r="E7" s="14">
        <f>C7-D7</f>
        <v>0</v>
      </c>
      <c r="F7" s="14">
        <v>0</v>
      </c>
      <c r="G7" s="14">
        <f>F7-C7</f>
        <v>0</v>
      </c>
      <c r="H7" s="58"/>
      <c r="I7" s="58"/>
    </row>
    <row r="8" spans="1:10" ht="15" x14ac:dyDescent="0.25">
      <c r="A8" s="10" t="s">
        <v>172</v>
      </c>
      <c r="B8" s="6" t="s">
        <v>38</v>
      </c>
      <c r="C8" s="15">
        <v>0</v>
      </c>
      <c r="D8" s="14"/>
      <c r="E8" s="14">
        <f>C8-D8</f>
        <v>0</v>
      </c>
      <c r="F8" s="14">
        <v>0</v>
      </c>
      <c r="G8" s="14">
        <f>F8-C8</f>
        <v>0</v>
      </c>
      <c r="H8" s="58" t="e">
        <f>F8/C8</f>
        <v>#DIV/0!</v>
      </c>
      <c r="I8" s="58" t="e">
        <f>F8/D8</f>
        <v>#DIV/0!</v>
      </c>
      <c r="J8" s="14"/>
    </row>
    <row r="9" spans="1:10" ht="15" x14ac:dyDescent="0.25">
      <c r="A9" s="6"/>
      <c r="B9" s="6"/>
      <c r="C9" s="15"/>
      <c r="D9" s="14"/>
      <c r="E9" s="14"/>
      <c r="F9" s="14"/>
      <c r="G9" s="14"/>
      <c r="H9" s="48"/>
      <c r="I9" s="48"/>
      <c r="J9" s="14"/>
    </row>
    <row r="10" spans="1:10" ht="15" x14ac:dyDescent="0.25">
      <c r="A10" s="6" t="s">
        <v>49</v>
      </c>
      <c r="B10" s="6"/>
      <c r="C10" s="15">
        <f>SUM(C7:C9)</f>
        <v>0</v>
      </c>
      <c r="D10" s="15">
        <f>SUM(D7:D9)</f>
        <v>0</v>
      </c>
      <c r="E10" s="15">
        <f>SUM(E7:E9)</f>
        <v>0</v>
      </c>
      <c r="F10" s="15">
        <f>SUM(F7:F9)</f>
        <v>0</v>
      </c>
      <c r="G10" s="15">
        <f>SUM(G7:G9)</f>
        <v>0</v>
      </c>
      <c r="H10" s="48" t="e">
        <f t="shared" ref="H10:H27" si="0">F10/C10</f>
        <v>#DIV/0!</v>
      </c>
      <c r="I10" s="48" t="e">
        <f t="shared" ref="I10:I27" si="1">F10/D10</f>
        <v>#DIV/0!</v>
      </c>
      <c r="J10" s="15"/>
    </row>
    <row r="11" spans="1:10" ht="15" x14ac:dyDescent="0.25">
      <c r="A11" s="6"/>
      <c r="B11" s="6"/>
      <c r="C11" s="14"/>
      <c r="D11" s="14"/>
      <c r="E11" s="14"/>
      <c r="F11" s="14"/>
      <c r="G11" s="14"/>
      <c r="H11" s="48"/>
      <c r="I11" s="48"/>
      <c r="J11" s="14"/>
    </row>
    <row r="12" spans="1:10" ht="15" x14ac:dyDescent="0.25">
      <c r="A12" s="10" t="s">
        <v>50</v>
      </c>
      <c r="B12" s="6"/>
      <c r="C12" s="14"/>
      <c r="D12" s="14"/>
      <c r="E12" s="14"/>
      <c r="F12" s="14"/>
      <c r="G12" s="14"/>
      <c r="H12" s="48"/>
      <c r="I12" s="48"/>
      <c r="J12" s="14"/>
    </row>
    <row r="13" spans="1:10" ht="15" x14ac:dyDescent="0.25">
      <c r="A13" s="6"/>
      <c r="B13" s="6"/>
      <c r="C13" s="14"/>
      <c r="D13" s="14"/>
      <c r="E13" s="14"/>
      <c r="F13" s="14"/>
      <c r="G13" s="14"/>
      <c r="H13" s="48"/>
      <c r="I13" s="48"/>
      <c r="J13" s="14"/>
    </row>
    <row r="14" spans="1:10" ht="15" x14ac:dyDescent="0.25">
      <c r="A14" s="10" t="s">
        <v>173</v>
      </c>
      <c r="B14" s="6" t="s">
        <v>71</v>
      </c>
      <c r="C14" s="14">
        <v>200</v>
      </c>
      <c r="D14" s="14"/>
      <c r="E14" s="14">
        <f t="shared" ref="E14:E23" si="2">C14-D14</f>
        <v>200</v>
      </c>
      <c r="F14" s="14">
        <v>200</v>
      </c>
      <c r="G14" s="14">
        <f t="shared" ref="G14:G23" si="3">F14-C14</f>
        <v>0</v>
      </c>
      <c r="H14" s="48">
        <f t="shared" si="0"/>
        <v>1</v>
      </c>
      <c r="I14" s="48" t="e">
        <f t="shared" si="1"/>
        <v>#DIV/0!</v>
      </c>
      <c r="J14" s="14"/>
    </row>
    <row r="15" spans="1:10" ht="15" x14ac:dyDescent="0.25">
      <c r="A15" s="10" t="s">
        <v>174</v>
      </c>
      <c r="B15" s="6" t="s">
        <v>73</v>
      </c>
      <c r="C15" s="14">
        <v>0</v>
      </c>
      <c r="D15" s="14"/>
      <c r="E15" s="14">
        <f t="shared" si="2"/>
        <v>0</v>
      </c>
      <c r="F15" s="14">
        <v>0</v>
      </c>
      <c r="G15" s="14">
        <f t="shared" si="3"/>
        <v>0</v>
      </c>
      <c r="H15" s="48" t="e">
        <f t="shared" si="0"/>
        <v>#DIV/0!</v>
      </c>
      <c r="I15" s="48" t="e">
        <f t="shared" si="1"/>
        <v>#DIV/0!</v>
      </c>
      <c r="J15" s="14"/>
    </row>
    <row r="16" spans="1:10" ht="15" x14ac:dyDescent="0.25">
      <c r="A16" s="10" t="s">
        <v>175</v>
      </c>
      <c r="B16" s="6" t="s">
        <v>75</v>
      </c>
      <c r="C16" s="14">
        <v>0</v>
      </c>
      <c r="D16" s="14"/>
      <c r="E16" s="14">
        <f t="shared" si="2"/>
        <v>0</v>
      </c>
      <c r="F16" s="14">
        <v>0</v>
      </c>
      <c r="G16" s="14">
        <f t="shared" si="3"/>
        <v>0</v>
      </c>
      <c r="H16" s="48" t="e">
        <f t="shared" si="0"/>
        <v>#DIV/0!</v>
      </c>
      <c r="I16" s="48" t="e">
        <f t="shared" si="1"/>
        <v>#DIV/0!</v>
      </c>
      <c r="J16" s="14"/>
    </row>
    <row r="17" spans="1:10" ht="15" x14ac:dyDescent="0.25">
      <c r="A17" s="10" t="s">
        <v>176</v>
      </c>
      <c r="B17" s="6" t="s">
        <v>77</v>
      </c>
      <c r="C17" s="14">
        <v>400</v>
      </c>
      <c r="D17" s="14"/>
      <c r="E17" s="14">
        <f t="shared" si="2"/>
        <v>400</v>
      </c>
      <c r="F17" s="14">
        <v>400</v>
      </c>
      <c r="G17" s="14">
        <f t="shared" si="3"/>
        <v>0</v>
      </c>
      <c r="H17" s="48">
        <f>F17/C17</f>
        <v>1</v>
      </c>
      <c r="I17" s="48" t="e">
        <f t="shared" si="1"/>
        <v>#DIV/0!</v>
      </c>
      <c r="J17" s="14"/>
    </row>
    <row r="18" spans="1:10" ht="15" x14ac:dyDescent="0.25">
      <c r="A18" s="21" t="s">
        <v>177</v>
      </c>
      <c r="B18" s="6" t="s">
        <v>79</v>
      </c>
      <c r="C18" s="14">
        <v>0</v>
      </c>
      <c r="D18" s="14"/>
      <c r="E18" s="14">
        <f t="shared" si="2"/>
        <v>0</v>
      </c>
      <c r="F18" s="14">
        <v>0</v>
      </c>
      <c r="G18" s="14">
        <f t="shared" si="3"/>
        <v>0</v>
      </c>
      <c r="H18" s="48" t="e">
        <f>F18/C18</f>
        <v>#DIV/0!</v>
      </c>
      <c r="I18" s="48" t="e">
        <f>F18/D18</f>
        <v>#DIV/0!</v>
      </c>
      <c r="J18" s="14"/>
    </row>
    <row r="19" spans="1:10" ht="15" x14ac:dyDescent="0.25">
      <c r="A19" s="21" t="s">
        <v>178</v>
      </c>
      <c r="B19" s="6" t="s">
        <v>179</v>
      </c>
      <c r="C19" s="14">
        <v>100</v>
      </c>
      <c r="D19" s="14"/>
      <c r="E19" s="14">
        <f t="shared" si="2"/>
        <v>100</v>
      </c>
      <c r="F19" s="14">
        <v>100</v>
      </c>
      <c r="G19" s="14">
        <f t="shared" si="3"/>
        <v>0</v>
      </c>
      <c r="H19" s="48">
        <f t="shared" si="0"/>
        <v>1</v>
      </c>
      <c r="I19" s="48" t="e">
        <f t="shared" si="1"/>
        <v>#DIV/0!</v>
      </c>
      <c r="J19" s="14"/>
    </row>
    <row r="20" spans="1:10" ht="15" x14ac:dyDescent="0.25">
      <c r="A20" s="21" t="s">
        <v>180</v>
      </c>
      <c r="B20" s="6" t="s">
        <v>181</v>
      </c>
      <c r="C20" s="14">
        <v>1080</v>
      </c>
      <c r="D20" s="14"/>
      <c r="E20" s="14">
        <f t="shared" si="2"/>
        <v>1080</v>
      </c>
      <c r="F20" s="14">
        <v>1150</v>
      </c>
      <c r="G20" s="14">
        <f t="shared" si="3"/>
        <v>70</v>
      </c>
      <c r="H20" s="48">
        <f t="shared" si="0"/>
        <v>1.0648148148148149</v>
      </c>
      <c r="I20" s="48" t="e">
        <f t="shared" si="1"/>
        <v>#DIV/0!</v>
      </c>
      <c r="J20" s="14"/>
    </row>
    <row r="21" spans="1:10" ht="15" x14ac:dyDescent="0.25">
      <c r="A21" s="21" t="s">
        <v>182</v>
      </c>
      <c r="B21" s="6" t="s">
        <v>183</v>
      </c>
      <c r="C21" s="14">
        <v>0</v>
      </c>
      <c r="D21" s="14"/>
      <c r="E21" s="14">
        <f t="shared" si="2"/>
        <v>0</v>
      </c>
      <c r="F21" s="14">
        <v>0</v>
      </c>
      <c r="G21" s="14">
        <f t="shared" si="3"/>
        <v>0</v>
      </c>
      <c r="H21" s="58" t="e">
        <f t="shared" si="0"/>
        <v>#DIV/0!</v>
      </c>
      <c r="I21" s="58" t="e">
        <f t="shared" si="1"/>
        <v>#DIV/0!</v>
      </c>
      <c r="J21" s="14"/>
    </row>
    <row r="22" spans="1:10" ht="15" x14ac:dyDescent="0.25">
      <c r="A22" s="21" t="s">
        <v>184</v>
      </c>
      <c r="B22" s="6" t="s">
        <v>185</v>
      </c>
      <c r="C22" s="14">
        <v>300</v>
      </c>
      <c r="D22" s="14"/>
      <c r="E22" s="14">
        <f t="shared" si="2"/>
        <v>300</v>
      </c>
      <c r="F22" s="14">
        <v>800</v>
      </c>
      <c r="G22" s="14">
        <f t="shared" si="3"/>
        <v>500</v>
      </c>
      <c r="H22" s="48">
        <f t="shared" si="0"/>
        <v>2.6666666666666665</v>
      </c>
      <c r="I22" s="48" t="e">
        <f t="shared" si="1"/>
        <v>#DIV/0!</v>
      </c>
      <c r="J22" s="14"/>
    </row>
    <row r="23" spans="1:10" ht="15" x14ac:dyDescent="0.25">
      <c r="A23" s="21" t="s">
        <v>186</v>
      </c>
      <c r="B23" s="6" t="s">
        <v>115</v>
      </c>
      <c r="C23" s="14">
        <v>1000</v>
      </c>
      <c r="D23" s="14"/>
      <c r="E23" s="14">
        <f t="shared" si="2"/>
        <v>1000</v>
      </c>
      <c r="F23" s="286">
        <v>1000</v>
      </c>
      <c r="G23" s="14">
        <f t="shared" si="3"/>
        <v>0</v>
      </c>
      <c r="H23" s="48">
        <f t="shared" si="0"/>
        <v>1</v>
      </c>
      <c r="I23" s="48" t="e">
        <f t="shared" si="1"/>
        <v>#DIV/0!</v>
      </c>
      <c r="J23" s="14"/>
    </row>
    <row r="24" spans="1:10" ht="15" x14ac:dyDescent="0.25">
      <c r="A24" s="6"/>
      <c r="B24" s="6"/>
      <c r="C24" s="14"/>
      <c r="D24" s="14"/>
      <c r="E24" s="14"/>
      <c r="F24" s="14"/>
      <c r="G24" s="14"/>
      <c r="H24" s="48"/>
      <c r="I24" s="48"/>
      <c r="J24" s="14"/>
    </row>
    <row r="25" spans="1:10" ht="16.8" x14ac:dyDescent="0.4">
      <c r="A25" s="6" t="s">
        <v>162</v>
      </c>
      <c r="B25" s="6"/>
      <c r="C25" s="16">
        <f>SUM(C14:C24)</f>
        <v>3080</v>
      </c>
      <c r="D25" s="16">
        <f>SUM(D14:D24)</f>
        <v>0</v>
      </c>
      <c r="E25" s="16">
        <f>SUM(E14:E24)</f>
        <v>3080</v>
      </c>
      <c r="F25" s="16">
        <f>SUM(F14:F24)</f>
        <v>3650</v>
      </c>
      <c r="G25" s="16">
        <f>SUM(G14:G24)</f>
        <v>570</v>
      </c>
      <c r="H25" s="48">
        <f t="shared" si="0"/>
        <v>1.1850649350649352</v>
      </c>
      <c r="I25" s="48" t="e">
        <f t="shared" si="1"/>
        <v>#DIV/0!</v>
      </c>
      <c r="J25" s="16"/>
    </row>
    <row r="26" spans="1:10" ht="15" x14ac:dyDescent="0.25">
      <c r="A26" s="6"/>
      <c r="B26" s="6"/>
      <c r="C26" s="14"/>
      <c r="D26" s="14"/>
      <c r="E26" s="14"/>
      <c r="F26" s="14"/>
      <c r="G26" s="14"/>
      <c r="H26" s="48"/>
      <c r="I26" s="48"/>
      <c r="J26" s="14"/>
    </row>
    <row r="27" spans="1:10" ht="16.8" x14ac:dyDescent="0.4">
      <c r="A27" s="10" t="s">
        <v>187</v>
      </c>
      <c r="B27" s="6"/>
      <c r="C27" s="17">
        <f>C10+C25</f>
        <v>3080</v>
      </c>
      <c r="D27" s="17">
        <f>D10+D25</f>
        <v>0</v>
      </c>
      <c r="E27" s="17">
        <f>E10+E25</f>
        <v>3080</v>
      </c>
      <c r="F27" s="17">
        <f>F10+F25</f>
        <v>3650</v>
      </c>
      <c r="G27" s="17">
        <f>G10+G25</f>
        <v>570</v>
      </c>
      <c r="H27" s="48">
        <f t="shared" si="0"/>
        <v>1.1850649350649352</v>
      </c>
      <c r="I27" s="48" t="e">
        <f t="shared" si="1"/>
        <v>#DIV/0!</v>
      </c>
      <c r="J27" s="17"/>
    </row>
    <row r="28" spans="1:10" ht="15" x14ac:dyDescent="0.25">
      <c r="A28" s="6"/>
      <c r="B28" s="6"/>
      <c r="C28" s="14"/>
      <c r="D28" s="14"/>
      <c r="E28" s="14"/>
      <c r="F28" s="14"/>
      <c r="G28" s="14"/>
    </row>
  </sheetData>
  <mergeCells count="1">
    <mergeCell ref="A1:G1"/>
  </mergeCells>
  <phoneticPr fontId="1" type="noConversion"/>
  <conditionalFormatting sqref="A8:A10 A18:A23">
    <cfRule type="expression" dxfId="72" priority="358" stopIfTrue="1">
      <formula>AND(COUNTIF($A$1:$A$350, A8)&gt;1,NOT(ISBLANK(A8)))</formula>
    </cfRule>
  </conditionalFormatting>
  <pageMargins left="0.75" right="0.75" top="1" bottom="1" header="0.5" footer="0.5"/>
  <pageSetup scale="75" orientation="portrait" horizontalDpi="4294967293" verticalDpi="200" r:id="rId1"/>
  <headerFooter alignWithMargins="0"/>
  <ignoredErrors>
    <ignoredError sqref="C10:G10" unlockedFormula="1"/>
    <ignoredError sqref="H8:I8 H10:I10 I16 H21:I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M82"/>
  <sheetViews>
    <sheetView zoomScale="101" zoomScaleNormal="115" workbookViewId="0">
      <pane ySplit="3" topLeftCell="A4" activePane="bottomLeft" state="frozen"/>
      <selection activeCell="C40" sqref="C40"/>
      <selection pane="bottomLeft" activeCell="F78" sqref="F78"/>
    </sheetView>
  </sheetViews>
  <sheetFormatPr defaultRowHeight="13.2" x14ac:dyDescent="0.25"/>
  <cols>
    <col min="1" max="1" width="22.6640625" customWidth="1"/>
    <col min="2" max="2" width="34.44140625" customWidth="1"/>
    <col min="3" max="3" width="13.33203125" style="2" customWidth="1"/>
    <col min="4" max="4" width="20.33203125" style="2" customWidth="1"/>
    <col min="5" max="5" width="14.33203125" style="2" customWidth="1"/>
    <col min="6" max="6" width="13.33203125" style="2" customWidth="1"/>
    <col min="7" max="7" width="15.33203125" style="2" customWidth="1"/>
    <col min="8" max="8" width="11.6640625" style="47" customWidth="1"/>
    <col min="9" max="9" width="15.33203125" style="47" customWidth="1"/>
  </cols>
  <sheetData>
    <row r="1" spans="1:13" ht="15.6" x14ac:dyDescent="0.3">
      <c r="A1" s="289" t="s">
        <v>11</v>
      </c>
      <c r="B1" s="289"/>
      <c r="C1" s="289"/>
      <c r="D1" s="289"/>
      <c r="E1" s="289"/>
      <c r="F1" s="289"/>
      <c r="G1" s="289"/>
      <c r="H1" s="46"/>
      <c r="I1" s="46"/>
    </row>
    <row r="2" spans="1:13" ht="15.6" x14ac:dyDescent="0.3">
      <c r="A2" s="41" t="str">
        <f>'Bldg ByLaw Accts'!A2</f>
        <v>2026 Draft Budget</v>
      </c>
      <c r="B2" s="8"/>
      <c r="C2" s="18"/>
      <c r="D2" s="18"/>
      <c r="E2" s="18"/>
      <c r="F2" s="18"/>
      <c r="G2" s="18"/>
      <c r="H2" s="46"/>
      <c r="I2" s="46"/>
    </row>
    <row r="3" spans="1:13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3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13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13" ht="15" x14ac:dyDescent="0.25">
      <c r="A6" s="6"/>
      <c r="B6" s="6"/>
      <c r="C6" s="7"/>
      <c r="D6" s="7"/>
      <c r="E6" s="7"/>
      <c r="F6" s="7"/>
      <c r="G6" s="7"/>
      <c r="H6" s="46"/>
      <c r="I6" s="46"/>
      <c r="J6" s="27"/>
      <c r="K6" s="5"/>
      <c r="L6" s="5"/>
      <c r="M6" s="5"/>
    </row>
    <row r="7" spans="1:13" ht="15" x14ac:dyDescent="0.25">
      <c r="A7" s="10" t="s">
        <v>188</v>
      </c>
      <c r="B7" s="6" t="s">
        <v>189</v>
      </c>
      <c r="C7" s="7">
        <v>-16461</v>
      </c>
      <c r="D7" s="7"/>
      <c r="E7" s="7">
        <f t="shared" ref="E7:E8" si="0">C7-D7</f>
        <v>-16461</v>
      </c>
      <c r="F7" s="7">
        <v>-16000</v>
      </c>
      <c r="G7" s="7">
        <f t="shared" ref="G7:G18" si="1">F7-C7</f>
        <v>461</v>
      </c>
      <c r="H7" s="48">
        <f t="shared" ref="H7:H18" si="2">F7/C7</f>
        <v>0.97199441103213657</v>
      </c>
      <c r="I7" s="48" t="e">
        <f t="shared" ref="I7:I18" si="3">F7/D7</f>
        <v>#DIV/0!</v>
      </c>
      <c r="J7" s="27"/>
      <c r="K7" s="5"/>
      <c r="L7" s="5"/>
      <c r="M7" s="5"/>
    </row>
    <row r="8" spans="1:13" ht="15" x14ac:dyDescent="0.25">
      <c r="A8" s="22" t="s">
        <v>190</v>
      </c>
      <c r="B8" s="6" t="s">
        <v>28</v>
      </c>
      <c r="C8" s="7">
        <v>0</v>
      </c>
      <c r="D8" s="11"/>
      <c r="E8" s="7">
        <f t="shared" si="0"/>
        <v>0</v>
      </c>
      <c r="F8" s="7">
        <v>0</v>
      </c>
      <c r="G8" s="7">
        <f t="shared" si="1"/>
        <v>0</v>
      </c>
      <c r="H8" s="48" t="e">
        <f t="shared" si="2"/>
        <v>#DIV/0!</v>
      </c>
      <c r="I8" s="48" t="e">
        <f t="shared" si="3"/>
        <v>#DIV/0!</v>
      </c>
    </row>
    <row r="9" spans="1:13" ht="15" x14ac:dyDescent="0.25">
      <c r="A9" s="22" t="s">
        <v>191</v>
      </c>
      <c r="B9" s="6" t="s">
        <v>192</v>
      </c>
      <c r="C9" s="7">
        <v>-500</v>
      </c>
      <c r="D9" s="11"/>
      <c r="E9" s="7">
        <f t="shared" ref="E9:E18" si="4">C9-D9</f>
        <v>-500</v>
      </c>
      <c r="F9" s="7">
        <v>-500</v>
      </c>
      <c r="G9" s="7">
        <f t="shared" si="1"/>
        <v>0</v>
      </c>
      <c r="H9" s="48">
        <f t="shared" si="2"/>
        <v>1</v>
      </c>
      <c r="I9" s="48" t="e">
        <f t="shared" si="3"/>
        <v>#DIV/0!</v>
      </c>
    </row>
    <row r="10" spans="1:13" ht="15" x14ac:dyDescent="0.25">
      <c r="A10" s="22" t="s">
        <v>193</v>
      </c>
      <c r="B10" s="6" t="s">
        <v>194</v>
      </c>
      <c r="C10" s="7">
        <v>-43200</v>
      </c>
      <c r="D10" s="11"/>
      <c r="E10" s="7">
        <f t="shared" si="4"/>
        <v>-43200</v>
      </c>
      <c r="F10" s="7">
        <v>-44400</v>
      </c>
      <c r="G10" s="7">
        <f t="shared" si="1"/>
        <v>-1200</v>
      </c>
      <c r="H10" s="48">
        <f t="shared" si="2"/>
        <v>1.0277777777777777</v>
      </c>
      <c r="I10" s="48" t="e">
        <f t="shared" si="3"/>
        <v>#DIV/0!</v>
      </c>
    </row>
    <row r="11" spans="1:13" ht="15" x14ac:dyDescent="0.25">
      <c r="A11" s="22" t="s">
        <v>195</v>
      </c>
      <c r="B11" s="6" t="s">
        <v>196</v>
      </c>
      <c r="C11" s="7">
        <v>-21300</v>
      </c>
      <c r="D11" s="11"/>
      <c r="E11" s="7">
        <f t="shared" si="4"/>
        <v>-21300</v>
      </c>
      <c r="F11" s="7">
        <v>-21300</v>
      </c>
      <c r="G11" s="7">
        <f t="shared" si="1"/>
        <v>0</v>
      </c>
      <c r="H11" s="48">
        <f t="shared" si="2"/>
        <v>1</v>
      </c>
      <c r="I11" s="48" t="e">
        <f t="shared" si="3"/>
        <v>#DIV/0!</v>
      </c>
    </row>
    <row r="12" spans="1:13" ht="15" x14ac:dyDescent="0.25">
      <c r="A12" s="22" t="s">
        <v>197</v>
      </c>
      <c r="B12" s="6" t="s">
        <v>198</v>
      </c>
      <c r="C12" s="7">
        <v>-55000</v>
      </c>
      <c r="D12" s="11"/>
      <c r="E12" s="7">
        <f t="shared" si="4"/>
        <v>-55000</v>
      </c>
      <c r="F12" s="7">
        <v>-45000</v>
      </c>
      <c r="G12" s="7">
        <f t="shared" si="1"/>
        <v>10000</v>
      </c>
      <c r="H12" s="48">
        <f t="shared" si="2"/>
        <v>0.81818181818181823</v>
      </c>
      <c r="I12" s="58" t="e">
        <f t="shared" si="3"/>
        <v>#DIV/0!</v>
      </c>
    </row>
    <row r="13" spans="1:13" ht="15" x14ac:dyDescent="0.25">
      <c r="A13" s="22" t="s">
        <v>199</v>
      </c>
      <c r="B13" s="6" t="s">
        <v>200</v>
      </c>
      <c r="C13" s="7">
        <v>0</v>
      </c>
      <c r="D13" s="11"/>
      <c r="E13" s="7">
        <f t="shared" si="4"/>
        <v>0</v>
      </c>
      <c r="F13" s="7">
        <v>0</v>
      </c>
      <c r="G13" s="7">
        <f t="shared" si="1"/>
        <v>0</v>
      </c>
      <c r="H13" s="48" t="e">
        <f t="shared" si="2"/>
        <v>#DIV/0!</v>
      </c>
      <c r="I13" s="58" t="e">
        <f t="shared" si="3"/>
        <v>#DIV/0!</v>
      </c>
    </row>
    <row r="14" spans="1:13" ht="15" x14ac:dyDescent="0.25">
      <c r="A14" s="22" t="s">
        <v>201</v>
      </c>
      <c r="B14" s="6" t="s">
        <v>202</v>
      </c>
      <c r="C14" s="7">
        <v>-18000</v>
      </c>
      <c r="D14" s="11"/>
      <c r="E14" s="7">
        <f t="shared" si="4"/>
        <v>-18000</v>
      </c>
      <c r="F14" s="7">
        <v>-18000</v>
      </c>
      <c r="G14" s="7">
        <f t="shared" si="1"/>
        <v>0</v>
      </c>
      <c r="H14" s="48">
        <f t="shared" si="2"/>
        <v>1</v>
      </c>
      <c r="I14" s="48" t="e">
        <f t="shared" si="3"/>
        <v>#DIV/0!</v>
      </c>
    </row>
    <row r="15" spans="1:13" ht="15" x14ac:dyDescent="0.25">
      <c r="A15" s="22" t="s">
        <v>203</v>
      </c>
      <c r="B15" s="6" t="s">
        <v>36</v>
      </c>
      <c r="C15" s="7">
        <v>-2200</v>
      </c>
      <c r="D15" s="11"/>
      <c r="E15" s="7">
        <f t="shared" si="4"/>
        <v>-2200</v>
      </c>
      <c r="F15" s="7">
        <v>-2200</v>
      </c>
      <c r="G15" s="7">
        <f t="shared" si="1"/>
        <v>0</v>
      </c>
      <c r="H15" s="48">
        <f t="shared" si="2"/>
        <v>1</v>
      </c>
      <c r="I15" s="48" t="e">
        <f t="shared" si="3"/>
        <v>#DIV/0!</v>
      </c>
    </row>
    <row r="16" spans="1:13" ht="15" x14ac:dyDescent="0.25">
      <c r="A16" s="22" t="s">
        <v>204</v>
      </c>
      <c r="B16" s="6" t="s">
        <v>205</v>
      </c>
      <c r="C16" s="7"/>
      <c r="D16" s="11"/>
      <c r="E16" s="7">
        <f t="shared" si="4"/>
        <v>0</v>
      </c>
      <c r="F16" s="7">
        <v>0</v>
      </c>
      <c r="G16" s="7">
        <f t="shared" si="1"/>
        <v>0</v>
      </c>
      <c r="H16" s="48" t="e">
        <f t="shared" si="2"/>
        <v>#DIV/0!</v>
      </c>
      <c r="I16" s="48" t="e">
        <f t="shared" si="3"/>
        <v>#DIV/0!</v>
      </c>
    </row>
    <row r="17" spans="1:10" ht="15" x14ac:dyDescent="0.25">
      <c r="A17" s="22" t="s">
        <v>206</v>
      </c>
      <c r="B17" s="6" t="s">
        <v>38</v>
      </c>
      <c r="C17" s="7">
        <v>-530750</v>
      </c>
      <c r="D17" s="11"/>
      <c r="E17" s="7">
        <f t="shared" si="4"/>
        <v>-530750</v>
      </c>
      <c r="F17" s="43">
        <v>-1216650</v>
      </c>
      <c r="G17" s="7">
        <f t="shared" si="1"/>
        <v>-685900</v>
      </c>
      <c r="H17" s="48">
        <f t="shared" si="2"/>
        <v>2.2923221855864342</v>
      </c>
      <c r="I17" s="48" t="e">
        <f t="shared" si="3"/>
        <v>#DIV/0!</v>
      </c>
      <c r="J17" s="57"/>
    </row>
    <row r="18" spans="1:10" ht="15" x14ac:dyDescent="0.25">
      <c r="A18" s="21" t="s">
        <v>207</v>
      </c>
      <c r="B18" s="6" t="s">
        <v>208</v>
      </c>
      <c r="C18" s="7"/>
      <c r="D18" s="7"/>
      <c r="E18" s="7">
        <f t="shared" si="4"/>
        <v>0</v>
      </c>
      <c r="F18" s="7">
        <v>0</v>
      </c>
      <c r="G18" s="7">
        <f t="shared" si="1"/>
        <v>0</v>
      </c>
      <c r="H18" s="48" t="e">
        <f t="shared" si="2"/>
        <v>#DIV/0!</v>
      </c>
      <c r="I18" s="48" t="e">
        <f t="shared" si="3"/>
        <v>#DIV/0!</v>
      </c>
    </row>
    <row r="19" spans="1:10" ht="15" x14ac:dyDescent="0.25">
      <c r="A19" s="6"/>
      <c r="B19" s="6"/>
      <c r="C19" s="7"/>
      <c r="D19" s="7"/>
      <c r="E19" s="7"/>
      <c r="F19" s="7"/>
      <c r="G19" s="7"/>
      <c r="H19" s="48"/>
      <c r="I19" s="48"/>
    </row>
    <row r="20" spans="1:10" ht="15" x14ac:dyDescent="0.25">
      <c r="A20" s="10" t="s">
        <v>49</v>
      </c>
      <c r="B20" s="6"/>
      <c r="C20" s="7">
        <f>SUM(C7:C18)</f>
        <v>-687411</v>
      </c>
      <c r="D20" s="7">
        <f>SUM(D7:D18)</f>
        <v>0</v>
      </c>
      <c r="E20" s="7">
        <f>SUM(E7:E18)</f>
        <v>-687411</v>
      </c>
      <c r="F20" s="7">
        <f>SUM(F7:F18)</f>
        <v>-1364050</v>
      </c>
      <c r="G20" s="7">
        <f>SUM(G7:G18)</f>
        <v>-676639</v>
      </c>
      <c r="H20" s="48">
        <f>F20/C20</f>
        <v>1.9843296077601318</v>
      </c>
      <c r="I20" s="48" t="e">
        <f t="shared" ref="I20" si="5">F20/D20</f>
        <v>#DIV/0!</v>
      </c>
    </row>
    <row r="21" spans="1:10" ht="15" x14ac:dyDescent="0.25">
      <c r="A21" s="6"/>
      <c r="B21" s="6"/>
      <c r="C21" s="7"/>
      <c r="D21" s="7"/>
      <c r="E21" s="7"/>
      <c r="F21" s="7"/>
      <c r="G21" s="7"/>
      <c r="H21" s="46"/>
      <c r="I21" s="46"/>
    </row>
    <row r="22" spans="1:10" ht="15" x14ac:dyDescent="0.25">
      <c r="A22" s="10" t="s">
        <v>50</v>
      </c>
      <c r="B22" s="6"/>
      <c r="C22" s="7"/>
      <c r="D22" s="7"/>
      <c r="E22" s="7"/>
      <c r="F22" s="7"/>
      <c r="G22" s="7"/>
      <c r="H22" s="46"/>
      <c r="I22" s="46"/>
    </row>
    <row r="23" spans="1:10" ht="15" x14ac:dyDescent="0.25">
      <c r="A23" s="6"/>
      <c r="B23" s="6"/>
      <c r="C23" s="7"/>
      <c r="D23" s="11"/>
      <c r="E23" s="7"/>
      <c r="F23" s="7"/>
      <c r="G23" s="7"/>
      <c r="H23" s="46"/>
      <c r="I23" s="46"/>
    </row>
    <row r="24" spans="1:10" ht="15" x14ac:dyDescent="0.25">
      <c r="A24" s="20" t="s">
        <v>209</v>
      </c>
      <c r="B24" s="6" t="s">
        <v>210</v>
      </c>
      <c r="C24" s="7">
        <v>245414</v>
      </c>
      <c r="D24" s="11"/>
      <c r="E24" s="7">
        <f>C24-D24</f>
        <v>245414</v>
      </c>
      <c r="F24" s="7">
        <v>286910</v>
      </c>
      <c r="G24" s="7">
        <f t="shared" ref="G24:G72" si="6">F24-C24</f>
        <v>41496</v>
      </c>
      <c r="H24" s="58">
        <f t="shared" ref="H24:H76" si="7">F24/C24</f>
        <v>1.1690857082318042</v>
      </c>
      <c r="I24" s="58" t="e">
        <f t="shared" ref="I24:I76" si="8">F24/D24</f>
        <v>#DIV/0!</v>
      </c>
    </row>
    <row r="25" spans="1:10" ht="15" x14ac:dyDescent="0.25">
      <c r="A25" s="20" t="s">
        <v>211</v>
      </c>
      <c r="B25" s="6" t="s">
        <v>212</v>
      </c>
      <c r="C25" s="7">
        <v>0</v>
      </c>
      <c r="D25" s="11"/>
      <c r="E25" s="7">
        <f t="shared" ref="E25:E31" si="9">C25-D25</f>
        <v>0</v>
      </c>
      <c r="F25" s="7">
        <v>0</v>
      </c>
      <c r="G25" s="7">
        <f t="shared" si="6"/>
        <v>0</v>
      </c>
      <c r="H25" s="58" t="e">
        <f t="shared" si="7"/>
        <v>#DIV/0!</v>
      </c>
      <c r="I25" s="58" t="e">
        <f t="shared" si="8"/>
        <v>#DIV/0!</v>
      </c>
    </row>
    <row r="26" spans="1:10" ht="15" x14ac:dyDescent="0.25">
      <c r="A26" s="20" t="s">
        <v>213</v>
      </c>
      <c r="B26" s="6" t="s">
        <v>214</v>
      </c>
      <c r="C26" s="7">
        <v>125000</v>
      </c>
      <c r="D26" s="11"/>
      <c r="E26" s="7">
        <f t="shared" si="9"/>
        <v>125000</v>
      </c>
      <c r="F26" s="7">
        <v>135000</v>
      </c>
      <c r="G26" s="7">
        <f t="shared" si="6"/>
        <v>10000</v>
      </c>
      <c r="H26" s="58">
        <f t="shared" si="7"/>
        <v>1.08</v>
      </c>
      <c r="I26" s="58" t="e">
        <f t="shared" si="8"/>
        <v>#DIV/0!</v>
      </c>
    </row>
    <row r="27" spans="1:10" ht="15" x14ac:dyDescent="0.25">
      <c r="A27" s="20" t="s">
        <v>215</v>
      </c>
      <c r="B27" s="6" t="s">
        <v>122</v>
      </c>
      <c r="C27" s="7">
        <v>13512</v>
      </c>
      <c r="D27" s="11"/>
      <c r="E27" s="7">
        <f t="shared" si="9"/>
        <v>13512</v>
      </c>
      <c r="F27" s="7">
        <v>16774</v>
      </c>
      <c r="G27" s="7">
        <f t="shared" si="6"/>
        <v>3262</v>
      </c>
      <c r="H27" s="58">
        <f t="shared" si="7"/>
        <v>1.2414150384843103</v>
      </c>
      <c r="I27" s="58" t="e">
        <f t="shared" si="8"/>
        <v>#DIV/0!</v>
      </c>
    </row>
    <row r="28" spans="1:10" ht="15" x14ac:dyDescent="0.25">
      <c r="A28" s="20" t="s">
        <v>216</v>
      </c>
      <c r="B28" s="6" t="s">
        <v>59</v>
      </c>
      <c r="C28" s="7">
        <v>7224</v>
      </c>
      <c r="D28" s="11"/>
      <c r="E28" s="7">
        <f t="shared" si="9"/>
        <v>7224</v>
      </c>
      <c r="F28" s="7">
        <v>8228</v>
      </c>
      <c r="G28" s="7">
        <f t="shared" si="6"/>
        <v>1004</v>
      </c>
      <c r="H28" s="58">
        <f t="shared" si="7"/>
        <v>1.1389811738648947</v>
      </c>
      <c r="I28" s="58" t="e">
        <f t="shared" si="8"/>
        <v>#DIV/0!</v>
      </c>
    </row>
    <row r="29" spans="1:10" ht="15" x14ac:dyDescent="0.25">
      <c r="A29" s="20" t="s">
        <v>217</v>
      </c>
      <c r="B29" s="6" t="s">
        <v>61</v>
      </c>
      <c r="C29" s="7">
        <v>24023</v>
      </c>
      <c r="D29" s="11"/>
      <c r="E29" s="7">
        <f t="shared" si="9"/>
        <v>24023</v>
      </c>
      <c r="F29" s="7">
        <v>26510</v>
      </c>
      <c r="G29" s="7">
        <f t="shared" si="6"/>
        <v>2487</v>
      </c>
      <c r="H29" s="58">
        <f t="shared" si="7"/>
        <v>1.1035257877867044</v>
      </c>
      <c r="I29" s="58" t="e">
        <f t="shared" si="8"/>
        <v>#DIV/0!</v>
      </c>
    </row>
    <row r="30" spans="1:10" ht="15" x14ac:dyDescent="0.25">
      <c r="A30" s="20" t="s">
        <v>218</v>
      </c>
      <c r="B30" s="6" t="s">
        <v>63</v>
      </c>
      <c r="C30" s="7">
        <v>26194</v>
      </c>
      <c r="D30" s="11"/>
      <c r="E30" s="7">
        <f t="shared" si="9"/>
        <v>26194</v>
      </c>
      <c r="F30" s="7">
        <v>29920</v>
      </c>
      <c r="G30" s="7">
        <f t="shared" si="6"/>
        <v>3726</v>
      </c>
      <c r="H30" s="58">
        <f t="shared" si="7"/>
        <v>1.1422463159502176</v>
      </c>
      <c r="I30" s="58" t="e">
        <f t="shared" si="8"/>
        <v>#DIV/0!</v>
      </c>
    </row>
    <row r="31" spans="1:10" ht="15" x14ac:dyDescent="0.25">
      <c r="A31" s="20" t="s">
        <v>219</v>
      </c>
      <c r="B31" s="6" t="s">
        <v>220</v>
      </c>
      <c r="C31" s="7">
        <v>44311</v>
      </c>
      <c r="D31" s="11"/>
      <c r="E31" s="7">
        <f t="shared" si="9"/>
        <v>44311</v>
      </c>
      <c r="F31" s="7">
        <v>41394</v>
      </c>
      <c r="G31" s="7">
        <f t="shared" si="6"/>
        <v>-2917</v>
      </c>
      <c r="H31" s="58">
        <f t="shared" si="7"/>
        <v>0.93416984495949085</v>
      </c>
      <c r="I31" s="58" t="e">
        <f t="shared" si="8"/>
        <v>#DIV/0!</v>
      </c>
    </row>
    <row r="32" spans="1:10" ht="15" x14ac:dyDescent="0.25">
      <c r="A32" s="20" t="s">
        <v>221</v>
      </c>
      <c r="B32" s="6" t="s">
        <v>67</v>
      </c>
      <c r="C32" s="7">
        <v>375</v>
      </c>
      <c r="D32" s="11"/>
      <c r="E32" s="7">
        <f t="shared" ref="E32:E72" si="10">C32-D32</f>
        <v>375</v>
      </c>
      <c r="F32" s="7">
        <v>100</v>
      </c>
      <c r="G32" s="7">
        <f t="shared" si="6"/>
        <v>-275</v>
      </c>
      <c r="H32" s="58">
        <f t="shared" si="7"/>
        <v>0.26666666666666666</v>
      </c>
      <c r="I32" s="58" t="e">
        <f t="shared" si="8"/>
        <v>#DIV/0!</v>
      </c>
    </row>
    <row r="33" spans="1:9" ht="15" x14ac:dyDescent="0.25">
      <c r="A33" s="20" t="s">
        <v>222</v>
      </c>
      <c r="B33" s="6" t="s">
        <v>223</v>
      </c>
      <c r="C33" s="7">
        <v>24961</v>
      </c>
      <c r="D33" s="11"/>
      <c r="E33" s="7">
        <f t="shared" si="10"/>
        <v>24961</v>
      </c>
      <c r="F33" s="7">
        <v>35450</v>
      </c>
      <c r="G33" s="7">
        <f t="shared" si="6"/>
        <v>10489</v>
      </c>
      <c r="H33" s="58">
        <f t="shared" si="7"/>
        <v>1.420215536236529</v>
      </c>
      <c r="I33" s="58" t="e">
        <f t="shared" si="8"/>
        <v>#DIV/0!</v>
      </c>
    </row>
    <row r="34" spans="1:9" ht="15" x14ac:dyDescent="0.25">
      <c r="A34" s="20" t="s">
        <v>224</v>
      </c>
      <c r="B34" s="6" t="s">
        <v>71</v>
      </c>
      <c r="C34" s="7">
        <v>0</v>
      </c>
      <c r="D34" s="11"/>
      <c r="E34" s="7">
        <f t="shared" si="10"/>
        <v>0</v>
      </c>
      <c r="F34" s="7">
        <v>0</v>
      </c>
      <c r="G34" s="7">
        <f t="shared" si="6"/>
        <v>0</v>
      </c>
      <c r="H34" s="58" t="e">
        <f t="shared" si="7"/>
        <v>#DIV/0!</v>
      </c>
      <c r="I34" s="58" t="e">
        <f t="shared" si="8"/>
        <v>#DIV/0!</v>
      </c>
    </row>
    <row r="35" spans="1:9" ht="15" x14ac:dyDescent="0.25">
      <c r="A35" s="20" t="s">
        <v>225</v>
      </c>
      <c r="B35" s="6" t="s">
        <v>73</v>
      </c>
      <c r="C35" s="7">
        <v>0</v>
      </c>
      <c r="D35" s="11"/>
      <c r="E35" s="7">
        <f t="shared" si="10"/>
        <v>0</v>
      </c>
      <c r="F35" s="7">
        <v>0</v>
      </c>
      <c r="G35" s="7">
        <f t="shared" si="6"/>
        <v>0</v>
      </c>
      <c r="H35" s="58" t="e">
        <f t="shared" si="7"/>
        <v>#DIV/0!</v>
      </c>
      <c r="I35" s="58" t="e">
        <f t="shared" si="8"/>
        <v>#DIV/0!</v>
      </c>
    </row>
    <row r="36" spans="1:9" ht="15" x14ac:dyDescent="0.25">
      <c r="A36" s="20" t="s">
        <v>226</v>
      </c>
      <c r="B36" s="6" t="s">
        <v>227</v>
      </c>
      <c r="C36" s="7">
        <v>0</v>
      </c>
      <c r="D36" s="11"/>
      <c r="E36" s="7">
        <f t="shared" si="10"/>
        <v>0</v>
      </c>
      <c r="F36" s="7">
        <v>0</v>
      </c>
      <c r="G36" s="7">
        <f t="shared" si="6"/>
        <v>0</v>
      </c>
      <c r="H36" s="58" t="e">
        <f t="shared" si="7"/>
        <v>#DIV/0!</v>
      </c>
      <c r="I36" s="58" t="e">
        <f t="shared" si="8"/>
        <v>#DIV/0!</v>
      </c>
    </row>
    <row r="37" spans="1:9" ht="15" x14ac:dyDescent="0.25">
      <c r="A37" s="20" t="s">
        <v>228</v>
      </c>
      <c r="B37" s="6" t="s">
        <v>229</v>
      </c>
      <c r="C37" s="7">
        <v>17000</v>
      </c>
      <c r="D37" s="11"/>
      <c r="E37" s="7">
        <f t="shared" si="10"/>
        <v>17000</v>
      </c>
      <c r="F37" s="7">
        <v>17000</v>
      </c>
      <c r="G37" s="7">
        <f t="shared" si="6"/>
        <v>0</v>
      </c>
      <c r="H37" s="58">
        <f t="shared" si="7"/>
        <v>1</v>
      </c>
      <c r="I37" s="58" t="e">
        <f t="shared" si="8"/>
        <v>#DIV/0!</v>
      </c>
    </row>
    <row r="38" spans="1:9" ht="15" x14ac:dyDescent="0.25">
      <c r="A38" s="20" t="s">
        <v>230</v>
      </c>
      <c r="B38" s="6" t="s">
        <v>81</v>
      </c>
      <c r="C38" s="7">
        <v>2935</v>
      </c>
      <c r="D38" s="11"/>
      <c r="E38" s="7">
        <f t="shared" si="10"/>
        <v>2935</v>
      </c>
      <c r="F38" s="7">
        <v>3235</v>
      </c>
      <c r="G38" s="7">
        <f t="shared" si="6"/>
        <v>300</v>
      </c>
      <c r="H38" s="58">
        <f t="shared" si="7"/>
        <v>1.10221465076661</v>
      </c>
      <c r="I38" s="58" t="e">
        <f t="shared" si="8"/>
        <v>#DIV/0!</v>
      </c>
    </row>
    <row r="39" spans="1:9" ht="15" x14ac:dyDescent="0.25">
      <c r="A39" s="20" t="s">
        <v>231</v>
      </c>
      <c r="B39" s="6" t="s">
        <v>232</v>
      </c>
      <c r="C39" s="7">
        <v>2570</v>
      </c>
      <c r="D39" s="11"/>
      <c r="E39" s="7">
        <f t="shared" si="10"/>
        <v>2570</v>
      </c>
      <c r="F39" s="43">
        <v>2900</v>
      </c>
      <c r="G39" s="7">
        <f t="shared" si="6"/>
        <v>330</v>
      </c>
      <c r="H39" s="58">
        <f t="shared" si="7"/>
        <v>1.1284046692607004</v>
      </c>
      <c r="I39" s="58" t="e">
        <f t="shared" si="8"/>
        <v>#DIV/0!</v>
      </c>
    </row>
    <row r="40" spans="1:9" ht="15" x14ac:dyDescent="0.25">
      <c r="A40" s="20" t="s">
        <v>233</v>
      </c>
      <c r="B40" s="6" t="s">
        <v>234</v>
      </c>
      <c r="C40" s="7">
        <v>30650</v>
      </c>
      <c r="D40" s="11"/>
      <c r="E40" s="7">
        <f t="shared" si="10"/>
        <v>30650</v>
      </c>
      <c r="F40" s="7">
        <v>76400</v>
      </c>
      <c r="G40" s="7">
        <f t="shared" si="6"/>
        <v>45750</v>
      </c>
      <c r="H40" s="58">
        <f t="shared" si="7"/>
        <v>2.4926590538336053</v>
      </c>
      <c r="I40" s="58" t="e">
        <f t="shared" si="8"/>
        <v>#DIV/0!</v>
      </c>
    </row>
    <row r="41" spans="1:9" ht="15" x14ac:dyDescent="0.25">
      <c r="A41" s="20" t="s">
        <v>235</v>
      </c>
      <c r="B41" s="6" t="s">
        <v>236</v>
      </c>
      <c r="C41" s="7">
        <v>45951</v>
      </c>
      <c r="D41" s="11"/>
      <c r="E41" s="7">
        <f t="shared" si="10"/>
        <v>45951</v>
      </c>
      <c r="F41" s="7">
        <v>54074</v>
      </c>
      <c r="G41" s="7">
        <f t="shared" si="6"/>
        <v>8123</v>
      </c>
      <c r="H41" s="58">
        <f t="shared" si="7"/>
        <v>1.1767752606036865</v>
      </c>
      <c r="I41" s="58" t="e">
        <f t="shared" si="8"/>
        <v>#DIV/0!</v>
      </c>
    </row>
    <row r="42" spans="1:9" ht="15" x14ac:dyDescent="0.25">
      <c r="A42" s="20" t="s">
        <v>237</v>
      </c>
      <c r="B42" s="6" t="s">
        <v>87</v>
      </c>
      <c r="C42" s="7">
        <v>29593</v>
      </c>
      <c r="D42" s="11"/>
      <c r="E42" s="7">
        <f t="shared" si="10"/>
        <v>29593</v>
      </c>
      <c r="F42" s="7">
        <v>31073</v>
      </c>
      <c r="G42" s="7">
        <f t="shared" si="6"/>
        <v>1480</v>
      </c>
      <c r="H42" s="58">
        <f t="shared" si="7"/>
        <v>1.0500118271212786</v>
      </c>
      <c r="I42" s="58" t="e">
        <f t="shared" si="8"/>
        <v>#DIV/0!</v>
      </c>
    </row>
    <row r="43" spans="1:9" ht="15" x14ac:dyDescent="0.25">
      <c r="A43" s="20" t="s">
        <v>238</v>
      </c>
      <c r="B43" s="6" t="s">
        <v>239</v>
      </c>
      <c r="C43" s="7">
        <v>0</v>
      </c>
      <c r="D43" s="11"/>
      <c r="E43" s="7">
        <f t="shared" si="10"/>
        <v>0</v>
      </c>
      <c r="F43" s="7">
        <v>0</v>
      </c>
      <c r="G43" s="7">
        <f t="shared" si="6"/>
        <v>0</v>
      </c>
      <c r="H43" s="58" t="e">
        <f t="shared" si="7"/>
        <v>#DIV/0!</v>
      </c>
      <c r="I43" s="58" t="e">
        <f t="shared" si="8"/>
        <v>#DIV/0!</v>
      </c>
    </row>
    <row r="44" spans="1:9" ht="15" x14ac:dyDescent="0.25">
      <c r="A44" s="20" t="s">
        <v>240</v>
      </c>
      <c r="B44" s="6" t="s">
        <v>95</v>
      </c>
      <c r="C44" s="7">
        <v>600</v>
      </c>
      <c r="D44" s="11"/>
      <c r="E44" s="7">
        <f t="shared" si="10"/>
        <v>600</v>
      </c>
      <c r="F44" s="7">
        <v>600</v>
      </c>
      <c r="G44" s="7">
        <f t="shared" si="6"/>
        <v>0</v>
      </c>
      <c r="H44" s="58">
        <f t="shared" si="7"/>
        <v>1</v>
      </c>
      <c r="I44" s="58" t="e">
        <f t="shared" si="8"/>
        <v>#DIV/0!</v>
      </c>
    </row>
    <row r="45" spans="1:9" ht="15" x14ac:dyDescent="0.25">
      <c r="A45" s="20" t="s">
        <v>241</v>
      </c>
      <c r="B45" s="6" t="s">
        <v>242</v>
      </c>
      <c r="C45" s="7">
        <v>1600</v>
      </c>
      <c r="D45" s="11"/>
      <c r="E45" s="7">
        <f t="shared" si="10"/>
        <v>1600</v>
      </c>
      <c r="F45" s="7">
        <v>1600</v>
      </c>
      <c r="G45" s="7">
        <f t="shared" si="6"/>
        <v>0</v>
      </c>
      <c r="H45" s="58">
        <f t="shared" si="7"/>
        <v>1</v>
      </c>
      <c r="I45" s="58" t="e">
        <f t="shared" si="8"/>
        <v>#DIV/0!</v>
      </c>
    </row>
    <row r="46" spans="1:9" ht="15" x14ac:dyDescent="0.25">
      <c r="A46" s="20" t="s">
        <v>243</v>
      </c>
      <c r="B46" s="6" t="s">
        <v>99</v>
      </c>
      <c r="C46" s="7">
        <v>0</v>
      </c>
      <c r="D46" s="11"/>
      <c r="E46" s="7">
        <f t="shared" si="10"/>
        <v>0</v>
      </c>
      <c r="F46" s="7">
        <v>0</v>
      </c>
      <c r="G46" s="7">
        <f t="shared" si="6"/>
        <v>0</v>
      </c>
      <c r="H46" s="58" t="e">
        <f t="shared" si="7"/>
        <v>#DIV/0!</v>
      </c>
      <c r="I46" s="58" t="e">
        <f t="shared" si="8"/>
        <v>#DIV/0!</v>
      </c>
    </row>
    <row r="47" spans="1:9" ht="15" x14ac:dyDescent="0.25">
      <c r="A47" s="20" t="s">
        <v>244</v>
      </c>
      <c r="B47" s="6" t="s">
        <v>245</v>
      </c>
      <c r="C47" s="7">
        <v>0</v>
      </c>
      <c r="D47" s="11"/>
      <c r="E47" s="7">
        <f t="shared" si="10"/>
        <v>0</v>
      </c>
      <c r="F47" s="7">
        <v>0</v>
      </c>
      <c r="G47" s="7">
        <f t="shared" si="6"/>
        <v>0</v>
      </c>
      <c r="H47" s="58" t="e">
        <f t="shared" si="7"/>
        <v>#DIV/0!</v>
      </c>
      <c r="I47" s="58" t="e">
        <f t="shared" si="8"/>
        <v>#DIV/0!</v>
      </c>
    </row>
    <row r="48" spans="1:9" ht="15" x14ac:dyDescent="0.25">
      <c r="A48" s="20" t="s">
        <v>246</v>
      </c>
      <c r="B48" s="6" t="s">
        <v>247</v>
      </c>
      <c r="C48" s="7">
        <v>2300</v>
      </c>
      <c r="D48" s="11"/>
      <c r="E48" s="7">
        <f t="shared" si="10"/>
        <v>2300</v>
      </c>
      <c r="F48" s="7">
        <v>2300</v>
      </c>
      <c r="G48" s="7">
        <f t="shared" si="6"/>
        <v>0</v>
      </c>
      <c r="H48" s="58">
        <f t="shared" si="7"/>
        <v>1</v>
      </c>
      <c r="I48" s="58" t="e">
        <f t="shared" si="8"/>
        <v>#DIV/0!</v>
      </c>
    </row>
    <row r="49" spans="1:9" ht="15" x14ac:dyDescent="0.25">
      <c r="A49" s="20" t="s">
        <v>248</v>
      </c>
      <c r="B49" s="6" t="s">
        <v>249</v>
      </c>
      <c r="C49" s="7">
        <v>1000</v>
      </c>
      <c r="D49" s="11"/>
      <c r="E49" s="7">
        <f t="shared" si="10"/>
        <v>1000</v>
      </c>
      <c r="F49" s="7">
        <v>1000</v>
      </c>
      <c r="G49" s="7">
        <f t="shared" si="6"/>
        <v>0</v>
      </c>
      <c r="H49" s="58">
        <f t="shared" si="7"/>
        <v>1</v>
      </c>
      <c r="I49" s="58" t="e">
        <f t="shared" si="8"/>
        <v>#DIV/0!</v>
      </c>
    </row>
    <row r="50" spans="1:9" ht="15" x14ac:dyDescent="0.25">
      <c r="A50" s="20" t="s">
        <v>250</v>
      </c>
      <c r="B50" s="6" t="s">
        <v>251</v>
      </c>
      <c r="C50" s="7">
        <v>5000</v>
      </c>
      <c r="D50" s="11"/>
      <c r="E50" s="7">
        <f t="shared" si="10"/>
        <v>5000</v>
      </c>
      <c r="F50" s="7">
        <v>5500</v>
      </c>
      <c r="G50" s="7">
        <f t="shared" si="6"/>
        <v>500</v>
      </c>
      <c r="H50" s="58">
        <f t="shared" si="7"/>
        <v>1.1000000000000001</v>
      </c>
      <c r="I50" s="58" t="e">
        <f t="shared" si="8"/>
        <v>#DIV/0!</v>
      </c>
    </row>
    <row r="51" spans="1:9" ht="15" x14ac:dyDescent="0.25">
      <c r="A51" s="20" t="s">
        <v>252</v>
      </c>
      <c r="B51" s="6" t="s">
        <v>253</v>
      </c>
      <c r="C51" s="7">
        <v>2476</v>
      </c>
      <c r="D51" s="11"/>
      <c r="E51" s="7">
        <f t="shared" si="10"/>
        <v>2476</v>
      </c>
      <c r="F51" s="7">
        <v>0</v>
      </c>
      <c r="G51" s="7">
        <f t="shared" si="6"/>
        <v>-2476</v>
      </c>
      <c r="H51" s="58">
        <f t="shared" si="7"/>
        <v>0</v>
      </c>
      <c r="I51" s="58" t="e">
        <f t="shared" si="8"/>
        <v>#DIV/0!</v>
      </c>
    </row>
    <row r="52" spans="1:9" ht="15" x14ac:dyDescent="0.25">
      <c r="A52" s="20" t="s">
        <v>254</v>
      </c>
      <c r="B52" s="6" t="s">
        <v>255</v>
      </c>
      <c r="C52" s="7">
        <v>0</v>
      </c>
      <c r="D52" s="11"/>
      <c r="E52" s="7">
        <f t="shared" si="10"/>
        <v>0</v>
      </c>
      <c r="F52" s="7">
        <v>0</v>
      </c>
      <c r="G52" s="7">
        <f t="shared" si="6"/>
        <v>0</v>
      </c>
      <c r="H52" s="58" t="e">
        <f t="shared" si="7"/>
        <v>#DIV/0!</v>
      </c>
      <c r="I52" s="58" t="e">
        <f t="shared" si="8"/>
        <v>#DIV/0!</v>
      </c>
    </row>
    <row r="53" spans="1:9" ht="15" x14ac:dyDescent="0.25">
      <c r="A53" s="20" t="s">
        <v>256</v>
      </c>
      <c r="B53" s="6" t="s">
        <v>257</v>
      </c>
      <c r="C53" s="7">
        <v>16515</v>
      </c>
      <c r="D53" s="11"/>
      <c r="E53" s="7">
        <f t="shared" si="10"/>
        <v>16515</v>
      </c>
      <c r="F53" s="7">
        <v>17515</v>
      </c>
      <c r="G53" s="7">
        <f t="shared" si="6"/>
        <v>1000</v>
      </c>
      <c r="H53" s="58">
        <f t="shared" si="7"/>
        <v>1.0605510142294883</v>
      </c>
      <c r="I53" s="58" t="e">
        <f t="shared" si="8"/>
        <v>#DIV/0!</v>
      </c>
    </row>
    <row r="54" spans="1:9" ht="15" x14ac:dyDescent="0.25">
      <c r="A54" s="20" t="s">
        <v>258</v>
      </c>
      <c r="B54" s="6" t="s">
        <v>259</v>
      </c>
      <c r="C54" s="7">
        <v>1700</v>
      </c>
      <c r="D54" s="11"/>
      <c r="E54" s="7">
        <f t="shared" si="10"/>
        <v>1700</v>
      </c>
      <c r="F54" s="7">
        <v>1700</v>
      </c>
      <c r="G54" s="7">
        <f t="shared" si="6"/>
        <v>0</v>
      </c>
      <c r="H54" s="58">
        <f t="shared" si="7"/>
        <v>1</v>
      </c>
      <c r="I54" s="58" t="e">
        <f t="shared" si="8"/>
        <v>#DIV/0!</v>
      </c>
    </row>
    <row r="55" spans="1:9" ht="15" x14ac:dyDescent="0.25">
      <c r="A55" s="20" t="s">
        <v>260</v>
      </c>
      <c r="B55" s="6" t="s">
        <v>261</v>
      </c>
      <c r="C55" s="7">
        <v>965</v>
      </c>
      <c r="D55" s="11"/>
      <c r="E55" s="7">
        <f t="shared" si="10"/>
        <v>965</v>
      </c>
      <c r="F55" s="7">
        <v>965</v>
      </c>
      <c r="G55" s="7">
        <f t="shared" si="6"/>
        <v>0</v>
      </c>
      <c r="H55" s="58">
        <f t="shared" si="7"/>
        <v>1</v>
      </c>
      <c r="I55" s="58" t="e">
        <f t="shared" si="8"/>
        <v>#DIV/0!</v>
      </c>
    </row>
    <row r="56" spans="1:9" ht="15" x14ac:dyDescent="0.25">
      <c r="A56" s="26" t="s">
        <v>262</v>
      </c>
      <c r="B56" s="6" t="s">
        <v>263</v>
      </c>
      <c r="C56" s="7">
        <v>26000</v>
      </c>
      <c r="D56" s="11"/>
      <c r="E56" s="7">
        <f t="shared" si="10"/>
        <v>26000</v>
      </c>
      <c r="F56" s="7">
        <v>28000</v>
      </c>
      <c r="G56" s="7">
        <f t="shared" si="6"/>
        <v>2000</v>
      </c>
      <c r="H56" s="58">
        <f t="shared" si="7"/>
        <v>1.0769230769230769</v>
      </c>
      <c r="I56" s="58" t="e">
        <f t="shared" si="8"/>
        <v>#DIV/0!</v>
      </c>
    </row>
    <row r="57" spans="1:9" ht="15" x14ac:dyDescent="0.25">
      <c r="A57" s="20" t="s">
        <v>264</v>
      </c>
      <c r="B57" s="6" t="s">
        <v>265</v>
      </c>
      <c r="C57" s="7">
        <v>22000</v>
      </c>
      <c r="D57" s="11"/>
      <c r="E57" s="7">
        <f t="shared" si="10"/>
        <v>22000</v>
      </c>
      <c r="F57" s="7">
        <v>24000</v>
      </c>
      <c r="G57" s="7">
        <f t="shared" si="6"/>
        <v>2000</v>
      </c>
      <c r="H57" s="58">
        <f t="shared" si="7"/>
        <v>1.0909090909090908</v>
      </c>
      <c r="I57" s="58" t="e">
        <f t="shared" si="8"/>
        <v>#DIV/0!</v>
      </c>
    </row>
    <row r="58" spans="1:9" ht="15" x14ac:dyDescent="0.25">
      <c r="A58" s="20" t="s">
        <v>266</v>
      </c>
      <c r="B58" s="6" t="s">
        <v>267</v>
      </c>
      <c r="C58" s="7">
        <v>0</v>
      </c>
      <c r="D58" s="11"/>
      <c r="E58" s="7">
        <f t="shared" si="10"/>
        <v>0</v>
      </c>
      <c r="F58" s="7">
        <v>0</v>
      </c>
      <c r="G58" s="7">
        <f t="shared" ref="G58" si="11">F58-C58</f>
        <v>0</v>
      </c>
      <c r="H58" s="58" t="e">
        <f t="shared" ref="H58" si="12">F58/C58</f>
        <v>#DIV/0!</v>
      </c>
      <c r="I58" s="58" t="e">
        <f t="shared" ref="I58" si="13">F58/D58</f>
        <v>#DIV/0!</v>
      </c>
    </row>
    <row r="59" spans="1:9" ht="15" x14ac:dyDescent="0.25">
      <c r="A59" s="20" t="s">
        <v>268</v>
      </c>
      <c r="B59" s="6" t="s">
        <v>269</v>
      </c>
      <c r="C59" s="7">
        <v>14000</v>
      </c>
      <c r="D59" s="11"/>
      <c r="E59" s="7">
        <f t="shared" si="10"/>
        <v>14000</v>
      </c>
      <c r="F59" s="7">
        <v>14000</v>
      </c>
      <c r="G59" s="7">
        <f t="shared" si="6"/>
        <v>0</v>
      </c>
      <c r="H59" s="58">
        <f t="shared" si="7"/>
        <v>1</v>
      </c>
      <c r="I59" s="58" t="e">
        <f t="shared" si="8"/>
        <v>#DIV/0!</v>
      </c>
    </row>
    <row r="60" spans="1:9" ht="15" x14ac:dyDescent="0.25">
      <c r="A60" s="20" t="s">
        <v>270</v>
      </c>
      <c r="B60" s="6" t="s">
        <v>117</v>
      </c>
      <c r="C60" s="7">
        <v>0</v>
      </c>
      <c r="D60" s="11"/>
      <c r="E60" s="7">
        <f t="shared" si="10"/>
        <v>0</v>
      </c>
      <c r="F60" s="7">
        <v>0</v>
      </c>
      <c r="G60" s="7">
        <f t="shared" ref="G60" si="14">F60-C60</f>
        <v>0</v>
      </c>
      <c r="H60" s="58" t="e">
        <f t="shared" ref="H60" si="15">F60/C60</f>
        <v>#DIV/0!</v>
      </c>
      <c r="I60" s="58" t="e">
        <f t="shared" ref="I60" si="16">F60/D60</f>
        <v>#DIV/0!</v>
      </c>
    </row>
    <row r="61" spans="1:9" ht="15" x14ac:dyDescent="0.25">
      <c r="A61" s="22" t="s">
        <v>271</v>
      </c>
      <c r="B61" s="6" t="s">
        <v>272</v>
      </c>
      <c r="C61" s="7">
        <v>500</v>
      </c>
      <c r="D61" s="11"/>
      <c r="E61" s="7">
        <f t="shared" si="10"/>
        <v>500</v>
      </c>
      <c r="F61" s="7">
        <v>500</v>
      </c>
      <c r="G61" s="7">
        <f t="shared" si="6"/>
        <v>0</v>
      </c>
      <c r="H61" s="58">
        <f t="shared" si="7"/>
        <v>1</v>
      </c>
      <c r="I61" s="58" t="e">
        <f t="shared" si="8"/>
        <v>#DIV/0!</v>
      </c>
    </row>
    <row r="62" spans="1:9" ht="15" x14ac:dyDescent="0.25">
      <c r="A62" s="22" t="s">
        <v>273</v>
      </c>
      <c r="B62" s="6" t="s">
        <v>274</v>
      </c>
      <c r="C62" s="7">
        <v>6750</v>
      </c>
      <c r="D62" s="11"/>
      <c r="E62" s="7">
        <f t="shared" si="10"/>
        <v>6750</v>
      </c>
      <c r="F62" s="7">
        <v>5000</v>
      </c>
      <c r="G62" s="7">
        <f t="shared" si="6"/>
        <v>-1750</v>
      </c>
      <c r="H62" s="58">
        <f t="shared" si="7"/>
        <v>0.7407407407407407</v>
      </c>
      <c r="I62" s="58" t="e">
        <f t="shared" si="8"/>
        <v>#DIV/0!</v>
      </c>
    </row>
    <row r="63" spans="1:9" ht="15" x14ac:dyDescent="0.25">
      <c r="A63" s="22" t="s">
        <v>275</v>
      </c>
      <c r="B63" s="6" t="s">
        <v>276</v>
      </c>
      <c r="C63" s="7">
        <v>5800</v>
      </c>
      <c r="D63" s="11"/>
      <c r="E63" s="7">
        <f t="shared" si="10"/>
        <v>5800</v>
      </c>
      <c r="F63" s="7">
        <v>5800</v>
      </c>
      <c r="G63" s="7">
        <f t="shared" si="6"/>
        <v>0</v>
      </c>
      <c r="H63" s="58">
        <f t="shared" si="7"/>
        <v>1</v>
      </c>
      <c r="I63" s="58" t="e">
        <f t="shared" si="8"/>
        <v>#DIV/0!</v>
      </c>
    </row>
    <row r="64" spans="1:9" ht="15" x14ac:dyDescent="0.25">
      <c r="A64" s="22" t="s">
        <v>277</v>
      </c>
      <c r="B64" s="6" t="s">
        <v>278</v>
      </c>
      <c r="C64" s="7">
        <v>2000</v>
      </c>
      <c r="D64" s="11"/>
      <c r="E64" s="7">
        <f t="shared" si="10"/>
        <v>2000</v>
      </c>
      <c r="F64" s="7">
        <v>2000</v>
      </c>
      <c r="G64" s="7">
        <f t="shared" si="6"/>
        <v>0</v>
      </c>
      <c r="H64" s="58">
        <f t="shared" si="7"/>
        <v>1</v>
      </c>
      <c r="I64" s="58" t="e">
        <f t="shared" si="8"/>
        <v>#DIV/0!</v>
      </c>
    </row>
    <row r="65" spans="1:10" ht="15" x14ac:dyDescent="0.25">
      <c r="A65" s="22" t="s">
        <v>279</v>
      </c>
      <c r="B65" s="6" t="s">
        <v>280</v>
      </c>
      <c r="C65" s="7">
        <v>8000</v>
      </c>
      <c r="D65" s="11"/>
      <c r="E65" s="7">
        <f t="shared" si="10"/>
        <v>8000</v>
      </c>
      <c r="F65" s="7">
        <v>8000</v>
      </c>
      <c r="G65" s="7">
        <f t="shared" si="6"/>
        <v>0</v>
      </c>
      <c r="H65" s="58">
        <f t="shared" si="7"/>
        <v>1</v>
      </c>
      <c r="I65" s="58" t="e">
        <f t="shared" si="8"/>
        <v>#DIV/0!</v>
      </c>
    </row>
    <row r="66" spans="1:10" ht="15" x14ac:dyDescent="0.25">
      <c r="A66" s="22" t="s">
        <v>281</v>
      </c>
      <c r="B66" s="6" t="s">
        <v>282</v>
      </c>
      <c r="C66" s="7">
        <v>4200</v>
      </c>
      <c r="D66" s="11"/>
      <c r="E66" s="7">
        <f t="shared" si="10"/>
        <v>4200</v>
      </c>
      <c r="F66" s="7">
        <v>4200</v>
      </c>
      <c r="G66" s="7">
        <f t="shared" si="6"/>
        <v>0</v>
      </c>
      <c r="H66" s="58">
        <f t="shared" si="7"/>
        <v>1</v>
      </c>
      <c r="I66" s="58" t="e">
        <f t="shared" si="8"/>
        <v>#DIV/0!</v>
      </c>
    </row>
    <row r="67" spans="1:10" ht="15" x14ac:dyDescent="0.25">
      <c r="A67" s="22" t="s">
        <v>283</v>
      </c>
      <c r="B67" s="6" t="s">
        <v>284</v>
      </c>
      <c r="C67" s="7">
        <v>3500</v>
      </c>
      <c r="D67" s="11"/>
      <c r="E67" s="7">
        <f t="shared" si="10"/>
        <v>3500</v>
      </c>
      <c r="F67" s="7">
        <v>3500</v>
      </c>
      <c r="G67" s="7">
        <f t="shared" si="6"/>
        <v>0</v>
      </c>
      <c r="H67" s="58">
        <f t="shared" si="7"/>
        <v>1</v>
      </c>
      <c r="I67" s="58" t="e">
        <f t="shared" si="8"/>
        <v>#DIV/0!</v>
      </c>
    </row>
    <row r="68" spans="1:10" ht="15" x14ac:dyDescent="0.25">
      <c r="A68" s="22" t="s">
        <v>285</v>
      </c>
      <c r="B68" s="6" t="s">
        <v>286</v>
      </c>
      <c r="C68" s="7">
        <v>1700</v>
      </c>
      <c r="D68" s="11"/>
      <c r="E68" s="7">
        <f t="shared" si="10"/>
        <v>1700</v>
      </c>
      <c r="F68" s="7">
        <v>1700</v>
      </c>
      <c r="G68" s="7">
        <f t="shared" si="6"/>
        <v>0</v>
      </c>
      <c r="H68" s="58">
        <f t="shared" si="7"/>
        <v>1</v>
      </c>
      <c r="I68" s="58" t="e">
        <f t="shared" si="8"/>
        <v>#DIV/0!</v>
      </c>
    </row>
    <row r="69" spans="1:10" ht="15" x14ac:dyDescent="0.25">
      <c r="A69" s="22" t="s">
        <v>287</v>
      </c>
      <c r="B69" s="6" t="s">
        <v>288</v>
      </c>
      <c r="C69" s="7">
        <v>850</v>
      </c>
      <c r="D69" s="11"/>
      <c r="E69" s="7">
        <f t="shared" si="10"/>
        <v>850</v>
      </c>
      <c r="F69" s="7">
        <v>850</v>
      </c>
      <c r="G69" s="7">
        <f t="shared" si="6"/>
        <v>0</v>
      </c>
      <c r="H69" s="58">
        <f t="shared" si="7"/>
        <v>1</v>
      </c>
      <c r="I69" s="58" t="e">
        <f t="shared" si="8"/>
        <v>#DIV/0!</v>
      </c>
    </row>
    <row r="70" spans="1:10" ht="15" x14ac:dyDescent="0.25">
      <c r="A70" s="22" t="s">
        <v>289</v>
      </c>
      <c r="B70" s="6" t="s">
        <v>115</v>
      </c>
      <c r="C70" s="7">
        <v>515000</v>
      </c>
      <c r="D70" s="7"/>
      <c r="E70" s="7">
        <f t="shared" si="10"/>
        <v>515000</v>
      </c>
      <c r="F70" s="7">
        <v>0</v>
      </c>
      <c r="G70" s="7">
        <f t="shared" si="6"/>
        <v>-515000</v>
      </c>
      <c r="H70" s="58">
        <f t="shared" si="7"/>
        <v>0</v>
      </c>
      <c r="I70" s="58" t="e">
        <f t="shared" si="8"/>
        <v>#DIV/0!</v>
      </c>
    </row>
    <row r="71" spans="1:10" ht="15" x14ac:dyDescent="0.25">
      <c r="A71" s="22" t="s">
        <v>290</v>
      </c>
      <c r="B71" s="6" t="s">
        <v>291</v>
      </c>
      <c r="C71" s="7">
        <v>0</v>
      </c>
      <c r="D71" s="7"/>
      <c r="E71" s="7">
        <f t="shared" si="10"/>
        <v>0</v>
      </c>
      <c r="F71" s="7">
        <v>0</v>
      </c>
      <c r="G71" s="7">
        <f t="shared" si="6"/>
        <v>0</v>
      </c>
      <c r="H71" s="58" t="e">
        <f t="shared" si="7"/>
        <v>#DIV/0!</v>
      </c>
      <c r="I71" s="58" t="e">
        <f t="shared" si="8"/>
        <v>#DIV/0!</v>
      </c>
    </row>
    <row r="72" spans="1:10" ht="15" x14ac:dyDescent="0.25">
      <c r="A72" s="20" t="s">
        <v>292</v>
      </c>
      <c r="B72" s="6" t="s">
        <v>293</v>
      </c>
      <c r="C72" s="7">
        <v>0</v>
      </c>
      <c r="D72" s="7"/>
      <c r="E72" s="7">
        <f t="shared" si="10"/>
        <v>0</v>
      </c>
      <c r="F72" s="7">
        <v>1191000</v>
      </c>
      <c r="G72" s="7">
        <f t="shared" si="6"/>
        <v>1191000</v>
      </c>
      <c r="H72" s="58" t="e">
        <f t="shared" si="7"/>
        <v>#DIV/0!</v>
      </c>
      <c r="I72" s="58" t="e">
        <f t="shared" si="8"/>
        <v>#DIV/0!</v>
      </c>
      <c r="J72" s="57"/>
    </row>
    <row r="73" spans="1:10" ht="15" x14ac:dyDescent="0.25">
      <c r="A73" s="6"/>
      <c r="B73" s="6"/>
      <c r="C73" s="7"/>
      <c r="D73" s="7"/>
      <c r="E73" s="7"/>
      <c r="F73" s="7"/>
      <c r="G73" s="7"/>
      <c r="H73" s="48"/>
      <c r="I73" s="48"/>
    </row>
    <row r="74" spans="1:10" ht="16.8" x14ac:dyDescent="0.4">
      <c r="A74" s="22" t="s">
        <v>162</v>
      </c>
      <c r="B74" s="6"/>
      <c r="C74" s="12">
        <f>SUM(C24:C73)</f>
        <v>1282169</v>
      </c>
      <c r="D74" s="62">
        <f>SUM(D24:D72)</f>
        <v>0</v>
      </c>
      <c r="E74" s="12">
        <f>SUM(E24:E72)</f>
        <v>1282169</v>
      </c>
      <c r="F74" s="12">
        <f>SUM(F24:F73)</f>
        <v>2084698</v>
      </c>
      <c r="G74" s="12">
        <f>SUM(G24:G72)</f>
        <v>802529</v>
      </c>
      <c r="H74" s="48">
        <f t="shared" si="7"/>
        <v>1.6259151484710674</v>
      </c>
      <c r="I74" s="48" t="e">
        <f t="shared" si="8"/>
        <v>#DIV/0!</v>
      </c>
      <c r="J74" s="4"/>
    </row>
    <row r="75" spans="1:10" ht="15" x14ac:dyDescent="0.25">
      <c r="A75" s="6"/>
      <c r="B75" s="6"/>
      <c r="C75" s="7"/>
      <c r="D75" s="7"/>
      <c r="E75" s="7"/>
      <c r="F75" s="7"/>
      <c r="G75" s="7"/>
      <c r="H75" s="48"/>
      <c r="I75" s="48"/>
    </row>
    <row r="76" spans="1:10" ht="16.8" x14ac:dyDescent="0.4">
      <c r="A76" s="22" t="s">
        <v>166</v>
      </c>
      <c r="B76" s="6"/>
      <c r="C76" s="13">
        <f>SUM(C20+C74)</f>
        <v>594758</v>
      </c>
      <c r="D76" s="13">
        <f>SUM(D20+D74)</f>
        <v>0</v>
      </c>
      <c r="E76" s="13">
        <f>SUM(E20+E74)</f>
        <v>594758</v>
      </c>
      <c r="F76" s="13">
        <f>SUM(F20+F74)</f>
        <v>720648</v>
      </c>
      <c r="G76" s="13">
        <f>SUM(G20+G74)</f>
        <v>125890</v>
      </c>
      <c r="H76" s="48">
        <f t="shared" si="7"/>
        <v>1.2116659212654559</v>
      </c>
      <c r="I76" s="48" t="e">
        <f t="shared" si="8"/>
        <v>#DIV/0!</v>
      </c>
    </row>
    <row r="82" spans="4:4" x14ac:dyDescent="0.25">
      <c r="D82" s="63"/>
    </row>
  </sheetData>
  <mergeCells count="1">
    <mergeCell ref="A1:G1"/>
  </mergeCells>
  <phoneticPr fontId="1" type="noConversion"/>
  <conditionalFormatting sqref="A8:A17 A24:A71 A74 A76">
    <cfRule type="expression" dxfId="71" priority="2" stopIfTrue="1">
      <formula>AND(COUNTIF($A$1:$A$358, A8)&gt;1,NOT(ISBLANK(A8)))</formula>
    </cfRule>
  </conditionalFormatting>
  <conditionalFormatting sqref="A18">
    <cfRule type="expression" dxfId="70" priority="493" stopIfTrue="1">
      <formula>AND(COUNTIF($A$1:$A$353, A18)&gt;1,NOT(ISBLANK(A18)))</formula>
    </cfRule>
  </conditionalFormatting>
  <conditionalFormatting sqref="A72">
    <cfRule type="expression" dxfId="69" priority="151" stopIfTrue="1">
      <formula>AND(COUNTIF($A$1:$A$354, A72)&gt;1,NOT(ISBLANK(A72)))</formula>
    </cfRule>
  </conditionalFormatting>
  <pageMargins left="0.74803149606299213" right="0.74803149606299213" top="0.98425196850393704" bottom="0.98425196850393704" header="0.51181102362204722" footer="0.51181102362204722"/>
  <pageSetup scale="65" orientation="portrait" r:id="rId1"/>
  <headerFooter alignWithMargins="0"/>
  <ignoredErrors>
    <ignoredError sqref="H8:I8 I9:I18 I20 H25 H34:H36 H71 I72 I74 I76 I24:I42 I61:I70 I44:I57 I59" evalError="1"/>
    <ignoredError sqref="F7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L118"/>
  <sheetViews>
    <sheetView zoomScaleNormal="100" workbookViewId="0">
      <pane ySplit="3" topLeftCell="A65" activePane="bottomLeft" state="frozen"/>
      <selection activeCell="C40" sqref="C40"/>
      <selection pane="bottomLeft" activeCell="F75" sqref="F75"/>
    </sheetView>
  </sheetViews>
  <sheetFormatPr defaultRowHeight="13.2" x14ac:dyDescent="0.25"/>
  <cols>
    <col min="1" max="1" width="23" customWidth="1"/>
    <col min="2" max="2" width="41.44140625" customWidth="1"/>
    <col min="3" max="3" width="13" style="2" customWidth="1"/>
    <col min="4" max="4" width="20.33203125" style="2" customWidth="1"/>
    <col min="5" max="5" width="15" style="2" customWidth="1"/>
    <col min="6" max="6" width="13" style="56" customWidth="1"/>
    <col min="7" max="7" width="16.33203125" style="2" customWidth="1"/>
    <col min="8" max="8" width="15.33203125" style="47" bestFit="1" customWidth="1"/>
    <col min="9" max="9" width="18.33203125" style="47" customWidth="1"/>
    <col min="10" max="11" width="9.33203125" bestFit="1" customWidth="1"/>
  </cols>
  <sheetData>
    <row r="1" spans="1:9" ht="15.6" x14ac:dyDescent="0.3">
      <c r="A1" s="41" t="s">
        <v>12</v>
      </c>
      <c r="B1" s="41"/>
      <c r="C1" s="41"/>
      <c r="D1" s="41"/>
      <c r="E1" s="41"/>
      <c r="F1" s="6"/>
      <c r="G1" s="41"/>
      <c r="H1" s="46"/>
      <c r="I1" s="46"/>
    </row>
    <row r="2" spans="1:9" ht="15.6" x14ac:dyDescent="0.3">
      <c r="A2" s="41" t="str">
        <f>'Bldg ByLaw Accts'!A2</f>
        <v>2026 Draft Budget</v>
      </c>
      <c r="B2" s="8"/>
      <c r="C2" s="18"/>
      <c r="D2" s="18"/>
      <c r="E2" s="18"/>
      <c r="F2" s="285"/>
      <c r="G2" s="18"/>
      <c r="H2" s="46"/>
      <c r="I2" s="46"/>
    </row>
    <row r="3" spans="1:9" ht="48" customHeight="1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9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9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9" ht="15" x14ac:dyDescent="0.25">
      <c r="A6" s="6"/>
      <c r="B6" s="6"/>
      <c r="C6" s="7"/>
      <c r="D6" s="7"/>
      <c r="E6" s="7"/>
      <c r="F6" s="7"/>
      <c r="G6" s="7"/>
      <c r="H6" s="46"/>
      <c r="I6" s="46"/>
    </row>
    <row r="7" spans="1:9" ht="15" x14ac:dyDescent="0.25">
      <c r="A7" s="20" t="s">
        <v>294</v>
      </c>
      <c r="B7" s="6" t="s">
        <v>295</v>
      </c>
      <c r="C7" s="7">
        <v>-43860</v>
      </c>
      <c r="D7" s="7"/>
      <c r="E7" s="7">
        <f>C7-D7</f>
        <v>-43860</v>
      </c>
      <c r="F7" s="7">
        <v>-43860</v>
      </c>
      <c r="G7" s="7">
        <f>F7-C7</f>
        <v>0</v>
      </c>
      <c r="H7" s="48">
        <f>F7/C7</f>
        <v>1</v>
      </c>
      <c r="I7" s="48" t="e">
        <f>F7/D7</f>
        <v>#DIV/0!</v>
      </c>
    </row>
    <row r="8" spans="1:9" ht="15" x14ac:dyDescent="0.25">
      <c r="A8" s="20" t="s">
        <v>296</v>
      </c>
      <c r="B8" s="6" t="s">
        <v>297</v>
      </c>
      <c r="C8" s="7">
        <v>-4178</v>
      </c>
      <c r="D8" s="7"/>
      <c r="E8" s="7">
        <f>C8-D8</f>
        <v>-4178</v>
      </c>
      <c r="F8" s="7">
        <v>-4178</v>
      </c>
      <c r="G8" s="7">
        <f t="shared" ref="G8:G21" si="0">F8-C8</f>
        <v>0</v>
      </c>
      <c r="H8" s="48">
        <f t="shared" ref="H8:H66" si="1">F8/C8</f>
        <v>1</v>
      </c>
      <c r="I8" s="48" t="e">
        <f t="shared" ref="I8:I66" si="2">F8/D8</f>
        <v>#DIV/0!</v>
      </c>
    </row>
    <row r="9" spans="1:9" ht="15" x14ac:dyDescent="0.25">
      <c r="A9" s="20" t="s">
        <v>298</v>
      </c>
      <c r="B9" s="6" t="s">
        <v>299</v>
      </c>
      <c r="C9" s="7">
        <v>-35822</v>
      </c>
      <c r="D9" s="7"/>
      <c r="E9" s="7">
        <f>C9-D9</f>
        <v>-35822</v>
      </c>
      <c r="F9" s="7">
        <v>-35822</v>
      </c>
      <c r="G9" s="7">
        <f t="shared" si="0"/>
        <v>0</v>
      </c>
      <c r="H9" s="48">
        <f t="shared" si="1"/>
        <v>1</v>
      </c>
      <c r="I9" s="48" t="e">
        <f t="shared" si="2"/>
        <v>#DIV/0!</v>
      </c>
    </row>
    <row r="10" spans="1:9" ht="15" x14ac:dyDescent="0.25">
      <c r="A10" s="21" t="s">
        <v>920</v>
      </c>
      <c r="B10" s="6" t="s">
        <v>300</v>
      </c>
      <c r="C10" s="7">
        <v>-1459500</v>
      </c>
      <c r="D10" s="7"/>
      <c r="E10" s="7">
        <f t="shared" ref="E10:E21" si="3">C10-D10</f>
        <v>-1459500</v>
      </c>
      <c r="F10" s="7">
        <v>-1552800</v>
      </c>
      <c r="G10" s="7">
        <f t="shared" si="0"/>
        <v>-93300</v>
      </c>
      <c r="H10" s="48">
        <f t="shared" si="1"/>
        <v>1.0639260020554984</v>
      </c>
      <c r="I10" s="48" t="e">
        <f t="shared" si="2"/>
        <v>#DIV/0!</v>
      </c>
    </row>
    <row r="11" spans="1:9" ht="15" x14ac:dyDescent="0.25">
      <c r="A11" s="22" t="s">
        <v>301</v>
      </c>
      <c r="B11" s="6" t="s">
        <v>302</v>
      </c>
      <c r="C11" s="7">
        <v>-5000</v>
      </c>
      <c r="D11" s="7"/>
      <c r="E11" s="7">
        <f t="shared" si="3"/>
        <v>-5000</v>
      </c>
      <c r="F11" s="7">
        <v>-4800</v>
      </c>
      <c r="G11" s="7">
        <f t="shared" si="0"/>
        <v>200</v>
      </c>
      <c r="H11" s="48">
        <f t="shared" si="1"/>
        <v>0.96</v>
      </c>
      <c r="I11" s="48" t="e">
        <f t="shared" si="2"/>
        <v>#DIV/0!</v>
      </c>
    </row>
    <row r="12" spans="1:9" ht="15" x14ac:dyDescent="0.25">
      <c r="A12" s="22" t="s">
        <v>303</v>
      </c>
      <c r="B12" s="6" t="s">
        <v>304</v>
      </c>
      <c r="C12" s="7">
        <v>-17851</v>
      </c>
      <c r="D12" s="7"/>
      <c r="E12" s="7">
        <f t="shared" si="3"/>
        <v>-17851</v>
      </c>
      <c r="F12" s="7">
        <v>-9763</v>
      </c>
      <c r="G12" s="7">
        <f t="shared" si="0"/>
        <v>8088</v>
      </c>
      <c r="H12" s="48">
        <f t="shared" si="1"/>
        <v>0.54691613915186821</v>
      </c>
      <c r="I12" s="48" t="e">
        <f t="shared" si="2"/>
        <v>#DIV/0!</v>
      </c>
    </row>
    <row r="13" spans="1:9" s="4" customFormat="1" ht="15" x14ac:dyDescent="0.25">
      <c r="A13" s="22" t="s">
        <v>305</v>
      </c>
      <c r="B13" s="6" t="s">
        <v>306</v>
      </c>
      <c r="C13" s="7">
        <v>-53043</v>
      </c>
      <c r="D13" s="7"/>
      <c r="E13" s="7">
        <f t="shared" si="3"/>
        <v>-53043</v>
      </c>
      <c r="F13" s="7">
        <v>-54251</v>
      </c>
      <c r="G13" s="7">
        <f t="shared" si="0"/>
        <v>-1208</v>
      </c>
      <c r="H13" s="48">
        <f t="shared" si="1"/>
        <v>1.0227739758309295</v>
      </c>
      <c r="I13" s="48" t="e">
        <f t="shared" si="2"/>
        <v>#DIV/0!</v>
      </c>
    </row>
    <row r="14" spans="1:9" ht="15" x14ac:dyDescent="0.25">
      <c r="A14" s="22" t="s">
        <v>307</v>
      </c>
      <c r="B14" s="6" t="s">
        <v>308</v>
      </c>
      <c r="C14" s="7">
        <v>0</v>
      </c>
      <c r="D14" s="7"/>
      <c r="E14" s="7">
        <f t="shared" si="3"/>
        <v>0</v>
      </c>
      <c r="F14" s="7"/>
      <c r="G14" s="7">
        <f t="shared" si="0"/>
        <v>0</v>
      </c>
      <c r="H14" s="48" t="e">
        <f t="shared" si="1"/>
        <v>#DIV/0!</v>
      </c>
      <c r="I14" s="48" t="e">
        <f t="shared" si="2"/>
        <v>#DIV/0!</v>
      </c>
    </row>
    <row r="15" spans="1:9" ht="15" x14ac:dyDescent="0.25">
      <c r="A15" s="21" t="s">
        <v>309</v>
      </c>
      <c r="B15" s="6" t="s">
        <v>310</v>
      </c>
      <c r="C15" s="7">
        <v>-100</v>
      </c>
      <c r="D15" s="7"/>
      <c r="E15" s="7">
        <f t="shared" si="3"/>
        <v>-100</v>
      </c>
      <c r="F15" s="7">
        <v>-200</v>
      </c>
      <c r="G15" s="7">
        <f t="shared" si="0"/>
        <v>-100</v>
      </c>
      <c r="H15" s="48">
        <f t="shared" si="1"/>
        <v>2</v>
      </c>
      <c r="I15" s="48" t="e">
        <f t="shared" si="2"/>
        <v>#DIV/0!</v>
      </c>
    </row>
    <row r="16" spans="1:9" ht="15" x14ac:dyDescent="0.25">
      <c r="A16" s="21" t="s">
        <v>311</v>
      </c>
      <c r="B16" s="6" t="s">
        <v>312</v>
      </c>
      <c r="C16" s="7">
        <v>-116000</v>
      </c>
      <c r="D16" s="7"/>
      <c r="E16" s="7">
        <f t="shared" si="3"/>
        <v>-116000</v>
      </c>
      <c r="F16" s="7">
        <v>-140000</v>
      </c>
      <c r="G16" s="7">
        <f t="shared" si="0"/>
        <v>-24000</v>
      </c>
      <c r="H16" s="58">
        <f t="shared" si="1"/>
        <v>1.2068965517241379</v>
      </c>
      <c r="I16" s="58" t="e">
        <f t="shared" si="2"/>
        <v>#DIV/0!</v>
      </c>
    </row>
    <row r="17" spans="1:9" ht="15" x14ac:dyDescent="0.25">
      <c r="A17" s="10" t="s">
        <v>313</v>
      </c>
      <c r="B17" s="6" t="s">
        <v>314</v>
      </c>
      <c r="C17" s="7">
        <v>-100</v>
      </c>
      <c r="D17" s="7"/>
      <c r="E17" s="7">
        <f>C17-D17</f>
        <v>-100</v>
      </c>
      <c r="F17" s="7">
        <v>-100</v>
      </c>
      <c r="G17" s="7">
        <f t="shared" si="0"/>
        <v>0</v>
      </c>
      <c r="H17" s="48">
        <f t="shared" si="1"/>
        <v>1</v>
      </c>
      <c r="I17" s="48" t="e">
        <f t="shared" si="2"/>
        <v>#DIV/0!</v>
      </c>
    </row>
    <row r="18" spans="1:9" s="4" customFormat="1" ht="15" x14ac:dyDescent="0.25">
      <c r="A18" s="21" t="s">
        <v>315</v>
      </c>
      <c r="B18" s="6" t="s">
        <v>316</v>
      </c>
      <c r="C18" s="7">
        <v>-462000</v>
      </c>
      <c r="D18" s="7"/>
      <c r="E18" s="7">
        <f t="shared" si="3"/>
        <v>-462000</v>
      </c>
      <c r="F18" s="7">
        <v>-352000</v>
      </c>
      <c r="G18" s="7">
        <f t="shared" si="0"/>
        <v>110000</v>
      </c>
      <c r="H18" s="48">
        <f t="shared" si="1"/>
        <v>0.76190476190476186</v>
      </c>
      <c r="I18" s="48" t="e">
        <f t="shared" si="2"/>
        <v>#DIV/0!</v>
      </c>
    </row>
    <row r="19" spans="1:9" ht="15" x14ac:dyDescent="0.25">
      <c r="A19" s="21" t="s">
        <v>317</v>
      </c>
      <c r="B19" s="6" t="s">
        <v>318</v>
      </c>
      <c r="C19" s="7">
        <v>-400</v>
      </c>
      <c r="D19" s="7"/>
      <c r="E19" s="7">
        <f t="shared" si="3"/>
        <v>-400</v>
      </c>
      <c r="F19" s="7">
        <v>-400</v>
      </c>
      <c r="G19" s="7">
        <f t="shared" si="0"/>
        <v>0</v>
      </c>
      <c r="H19" s="48">
        <f t="shared" si="1"/>
        <v>1</v>
      </c>
      <c r="I19" s="48" t="e">
        <f t="shared" si="2"/>
        <v>#DIV/0!</v>
      </c>
    </row>
    <row r="20" spans="1:9" ht="15" x14ac:dyDescent="0.25">
      <c r="A20" s="10" t="s">
        <v>319</v>
      </c>
      <c r="B20" s="6" t="s">
        <v>320</v>
      </c>
      <c r="C20" s="7">
        <v>-571742</v>
      </c>
      <c r="D20" s="7"/>
      <c r="E20" s="7">
        <f t="shared" si="3"/>
        <v>-571742</v>
      </c>
      <c r="F20" s="43">
        <v>-830224</v>
      </c>
      <c r="G20" s="7">
        <f t="shared" si="0"/>
        <v>-258482</v>
      </c>
      <c r="H20" s="48">
        <f t="shared" si="1"/>
        <v>1.4520955256042061</v>
      </c>
      <c r="I20" s="48" t="e">
        <f t="shared" si="2"/>
        <v>#DIV/0!</v>
      </c>
    </row>
    <row r="21" spans="1:9" ht="15" x14ac:dyDescent="0.25">
      <c r="A21" s="10" t="s">
        <v>321</v>
      </c>
      <c r="B21" s="6" t="s">
        <v>208</v>
      </c>
      <c r="C21" s="7"/>
      <c r="D21" s="7"/>
      <c r="E21" s="7">
        <f t="shared" si="3"/>
        <v>0</v>
      </c>
      <c r="F21" s="7"/>
      <c r="G21" s="7">
        <f t="shared" si="0"/>
        <v>0</v>
      </c>
      <c r="H21" s="48" t="e">
        <f>F21/C21</f>
        <v>#DIV/0!</v>
      </c>
      <c r="I21" s="48" t="e">
        <f>F21/D21</f>
        <v>#DIV/0!</v>
      </c>
    </row>
    <row r="22" spans="1:9" ht="15" x14ac:dyDescent="0.25">
      <c r="A22" s="10"/>
      <c r="B22" s="6"/>
      <c r="C22" s="7"/>
      <c r="D22" s="7"/>
      <c r="E22" s="7"/>
      <c r="F22" s="7"/>
      <c r="G22" s="7"/>
      <c r="H22" s="48"/>
      <c r="I22" s="48"/>
    </row>
    <row r="23" spans="1:9" ht="15" x14ac:dyDescent="0.25">
      <c r="A23" s="10" t="s">
        <v>322</v>
      </c>
      <c r="B23" s="6"/>
      <c r="C23" s="11">
        <f>SUM(C7:C22)</f>
        <v>-2769596</v>
      </c>
      <c r="D23" s="11">
        <f>SUM(D7:D22)</f>
        <v>0</v>
      </c>
      <c r="E23" s="11">
        <f>SUM(E7:E22)</f>
        <v>-2769596</v>
      </c>
      <c r="F23" s="11">
        <f>SUM(F7:F22)</f>
        <v>-3028398</v>
      </c>
      <c r="G23" s="11">
        <f>SUM(G7:G22)</f>
        <v>-258802</v>
      </c>
      <c r="H23" s="48">
        <f t="shared" si="1"/>
        <v>1.0934439535585696</v>
      </c>
      <c r="I23" s="48" t="e">
        <f t="shared" si="2"/>
        <v>#DIV/0!</v>
      </c>
    </row>
    <row r="24" spans="1:9" ht="15" x14ac:dyDescent="0.25">
      <c r="A24" s="10"/>
      <c r="B24" s="6"/>
      <c r="C24" s="11"/>
      <c r="D24" s="7"/>
      <c r="E24" s="7"/>
      <c r="F24" s="7"/>
      <c r="G24" s="7"/>
      <c r="H24" s="48"/>
      <c r="I24" s="48"/>
    </row>
    <row r="25" spans="1:9" ht="15" x14ac:dyDescent="0.25">
      <c r="A25" s="10" t="s">
        <v>323</v>
      </c>
      <c r="B25" s="6"/>
      <c r="C25" s="11"/>
      <c r="D25" s="7"/>
      <c r="E25" s="7"/>
      <c r="F25" s="7"/>
      <c r="G25" s="7"/>
      <c r="H25" s="48"/>
      <c r="I25" s="48"/>
    </row>
    <row r="26" spans="1:9" ht="15" x14ac:dyDescent="0.25">
      <c r="A26" s="10"/>
      <c r="B26" s="6"/>
      <c r="C26" s="11"/>
      <c r="D26" s="7"/>
      <c r="E26" s="7"/>
      <c r="F26" s="7"/>
      <c r="G26" s="7"/>
      <c r="H26" s="48"/>
      <c r="I26" s="48"/>
    </row>
    <row r="27" spans="1:9" ht="15" x14ac:dyDescent="0.25">
      <c r="A27" s="20" t="s">
        <v>324</v>
      </c>
      <c r="B27" s="6" t="s">
        <v>325</v>
      </c>
      <c r="C27" s="7">
        <v>144817</v>
      </c>
      <c r="D27" s="7"/>
      <c r="E27" s="7">
        <f t="shared" ref="E27:E58" si="4">C27-D27</f>
        <v>144817</v>
      </c>
      <c r="F27" s="7">
        <v>149162</v>
      </c>
      <c r="G27" s="7">
        <f t="shared" ref="G27:G106" si="5">F27-C27</f>
        <v>4345</v>
      </c>
      <c r="H27" s="48">
        <f t="shared" si="1"/>
        <v>1.030003383580657</v>
      </c>
      <c r="I27" s="48" t="e">
        <f t="shared" si="2"/>
        <v>#DIV/0!</v>
      </c>
    </row>
    <row r="28" spans="1:9" ht="15" x14ac:dyDescent="0.25">
      <c r="A28" s="20" t="s">
        <v>326</v>
      </c>
      <c r="B28" s="6" t="s">
        <v>327</v>
      </c>
      <c r="C28" s="7">
        <v>7767</v>
      </c>
      <c r="D28" s="7"/>
      <c r="E28" s="7">
        <f t="shared" si="4"/>
        <v>7767</v>
      </c>
      <c r="F28" s="7">
        <v>8000</v>
      </c>
      <c r="G28" s="7">
        <f t="shared" si="5"/>
        <v>233</v>
      </c>
      <c r="H28" s="48">
        <f t="shared" si="1"/>
        <v>1.0299987125016095</v>
      </c>
      <c r="I28" s="48" t="e">
        <f t="shared" si="2"/>
        <v>#DIV/0!</v>
      </c>
    </row>
    <row r="29" spans="1:9" ht="15" x14ac:dyDescent="0.25">
      <c r="A29" s="20" t="s">
        <v>328</v>
      </c>
      <c r="B29" s="6" t="s">
        <v>122</v>
      </c>
      <c r="C29" s="7">
        <v>4610</v>
      </c>
      <c r="D29" s="7"/>
      <c r="E29" s="7">
        <f t="shared" si="4"/>
        <v>4610</v>
      </c>
      <c r="F29" s="7">
        <v>4768</v>
      </c>
      <c r="G29" s="7">
        <f t="shared" si="5"/>
        <v>158</v>
      </c>
      <c r="H29" s="48">
        <f t="shared" si="1"/>
        <v>1.0342733188720175</v>
      </c>
      <c r="I29" s="48" t="e">
        <f t="shared" si="2"/>
        <v>#DIV/0!</v>
      </c>
    </row>
    <row r="30" spans="1:9" ht="15" x14ac:dyDescent="0.25">
      <c r="A30" s="20" t="s">
        <v>329</v>
      </c>
      <c r="B30" s="6" t="s">
        <v>59</v>
      </c>
      <c r="C30" s="7">
        <v>2976</v>
      </c>
      <c r="D30" s="7"/>
      <c r="E30" s="7">
        <f t="shared" si="4"/>
        <v>2976</v>
      </c>
      <c r="F30" s="7">
        <v>3065</v>
      </c>
      <c r="G30" s="7">
        <f t="shared" si="5"/>
        <v>89</v>
      </c>
      <c r="H30" s="48">
        <f t="shared" si="1"/>
        <v>1.0299059139784945</v>
      </c>
      <c r="I30" s="48" t="e">
        <f t="shared" si="2"/>
        <v>#DIV/0!</v>
      </c>
    </row>
    <row r="31" spans="1:9" ht="15" x14ac:dyDescent="0.25">
      <c r="A31" s="20" t="s">
        <v>330</v>
      </c>
      <c r="B31" s="6" t="s">
        <v>61</v>
      </c>
      <c r="C31" s="7">
        <v>0</v>
      </c>
      <c r="D31" s="7"/>
      <c r="E31" s="7">
        <f t="shared" si="4"/>
        <v>0</v>
      </c>
      <c r="F31" s="7">
        <v>140</v>
      </c>
      <c r="G31" s="7">
        <f t="shared" si="5"/>
        <v>140</v>
      </c>
      <c r="H31" s="48" t="e">
        <f t="shared" si="1"/>
        <v>#DIV/0!</v>
      </c>
      <c r="I31" s="48" t="e">
        <f t="shared" si="2"/>
        <v>#DIV/0!</v>
      </c>
    </row>
    <row r="32" spans="1:9" ht="15" x14ac:dyDescent="0.25">
      <c r="A32" s="20" t="s">
        <v>331</v>
      </c>
      <c r="B32" s="6" t="s">
        <v>63</v>
      </c>
      <c r="C32" s="7">
        <v>0</v>
      </c>
      <c r="D32" s="7"/>
      <c r="E32" s="7">
        <f t="shared" si="4"/>
        <v>0</v>
      </c>
      <c r="F32" s="7"/>
      <c r="G32" s="7">
        <f t="shared" si="5"/>
        <v>0</v>
      </c>
      <c r="H32" s="48" t="e">
        <f t="shared" si="1"/>
        <v>#DIV/0!</v>
      </c>
      <c r="I32" s="48" t="e">
        <f t="shared" si="2"/>
        <v>#DIV/0!</v>
      </c>
    </row>
    <row r="33" spans="1:11" ht="15" x14ac:dyDescent="0.25">
      <c r="A33" s="20" t="s">
        <v>332</v>
      </c>
      <c r="B33" s="6" t="s">
        <v>65</v>
      </c>
      <c r="C33" s="7">
        <v>22862</v>
      </c>
      <c r="D33" s="7"/>
      <c r="E33" s="7">
        <f t="shared" si="4"/>
        <v>22862</v>
      </c>
      <c r="F33" s="7">
        <v>20053</v>
      </c>
      <c r="G33" s="7">
        <f t="shared" si="5"/>
        <v>-2809</v>
      </c>
      <c r="H33" s="48">
        <f t="shared" si="1"/>
        <v>0.8771323593736331</v>
      </c>
      <c r="I33" s="48" t="e">
        <f t="shared" si="2"/>
        <v>#DIV/0!</v>
      </c>
    </row>
    <row r="34" spans="1:11" ht="15" x14ac:dyDescent="0.25">
      <c r="A34" s="20" t="s">
        <v>333</v>
      </c>
      <c r="B34" s="6" t="s">
        <v>334</v>
      </c>
      <c r="C34" s="7">
        <v>12500</v>
      </c>
      <c r="D34" s="7"/>
      <c r="E34" s="7">
        <f t="shared" si="4"/>
        <v>12500</v>
      </c>
      <c r="F34" s="7">
        <v>12500</v>
      </c>
      <c r="G34" s="7">
        <f t="shared" si="5"/>
        <v>0</v>
      </c>
      <c r="H34" s="48">
        <f t="shared" si="1"/>
        <v>1</v>
      </c>
      <c r="I34" s="48" t="e">
        <f t="shared" si="2"/>
        <v>#DIV/0!</v>
      </c>
    </row>
    <row r="35" spans="1:11" ht="15" x14ac:dyDescent="0.25">
      <c r="A35" s="20" t="s">
        <v>335</v>
      </c>
      <c r="B35" s="6" t="s">
        <v>83</v>
      </c>
      <c r="C35" s="7">
        <v>1380</v>
      </c>
      <c r="D35" s="7"/>
      <c r="E35" s="7">
        <f t="shared" si="4"/>
        <v>1380</v>
      </c>
      <c r="F35" s="7">
        <v>894</v>
      </c>
      <c r="G35" s="7">
        <f t="shared" si="5"/>
        <v>-486</v>
      </c>
      <c r="H35" s="48">
        <f t="shared" si="1"/>
        <v>0.64782608695652177</v>
      </c>
      <c r="I35" s="48" t="e">
        <f t="shared" si="2"/>
        <v>#DIV/0!</v>
      </c>
    </row>
    <row r="36" spans="1:11" ht="15" x14ac:dyDescent="0.25">
      <c r="A36" s="20" t="s">
        <v>336</v>
      </c>
      <c r="B36" s="6" t="s">
        <v>87</v>
      </c>
      <c r="C36" s="7">
        <v>1670</v>
      </c>
      <c r="D36" s="7"/>
      <c r="E36" s="7">
        <f t="shared" si="4"/>
        <v>1670</v>
      </c>
      <c r="F36" s="7">
        <v>1754</v>
      </c>
      <c r="G36" s="7">
        <f t="shared" si="5"/>
        <v>84</v>
      </c>
      <c r="H36" s="48">
        <f t="shared" si="1"/>
        <v>1.0502994011976048</v>
      </c>
      <c r="I36" s="48" t="e">
        <f t="shared" si="2"/>
        <v>#DIV/0!</v>
      </c>
    </row>
    <row r="37" spans="1:11" ht="15" x14ac:dyDescent="0.25">
      <c r="A37" s="20" t="s">
        <v>337</v>
      </c>
      <c r="B37" s="6" t="s">
        <v>97</v>
      </c>
      <c r="C37" s="7">
        <v>850</v>
      </c>
      <c r="D37" s="7"/>
      <c r="E37" s="7">
        <f t="shared" si="4"/>
        <v>850</v>
      </c>
      <c r="F37" s="7">
        <v>650</v>
      </c>
      <c r="G37" s="7">
        <f t="shared" si="5"/>
        <v>-200</v>
      </c>
      <c r="H37" s="48">
        <f t="shared" si="1"/>
        <v>0.76470588235294112</v>
      </c>
      <c r="I37" s="48" t="e">
        <f>F37/D37</f>
        <v>#DIV/0!</v>
      </c>
    </row>
    <row r="38" spans="1:11" ht="15" x14ac:dyDescent="0.25">
      <c r="A38" s="20" t="s">
        <v>338</v>
      </c>
      <c r="B38" s="6" t="s">
        <v>99</v>
      </c>
      <c r="C38" s="7">
        <v>21100</v>
      </c>
      <c r="D38" s="7"/>
      <c r="E38" s="7">
        <f t="shared" si="4"/>
        <v>21100</v>
      </c>
      <c r="F38" s="7">
        <v>22700</v>
      </c>
      <c r="G38" s="7">
        <f t="shared" si="5"/>
        <v>1600</v>
      </c>
      <c r="H38" s="48">
        <f t="shared" si="1"/>
        <v>1.0758293838862558</v>
      </c>
      <c r="I38" s="48" t="e">
        <f t="shared" si="2"/>
        <v>#DIV/0!</v>
      </c>
    </row>
    <row r="39" spans="1:11" ht="15" x14ac:dyDescent="0.25">
      <c r="A39" s="20" t="s">
        <v>339</v>
      </c>
      <c r="B39" s="6" t="s">
        <v>101</v>
      </c>
      <c r="C39" s="7">
        <v>150</v>
      </c>
      <c r="D39" s="7"/>
      <c r="E39" s="7">
        <f t="shared" si="4"/>
        <v>150</v>
      </c>
      <c r="F39" s="7">
        <v>320</v>
      </c>
      <c r="G39" s="7">
        <f t="shared" si="5"/>
        <v>170</v>
      </c>
      <c r="H39" s="48">
        <f t="shared" si="1"/>
        <v>2.1333333333333333</v>
      </c>
      <c r="I39" s="48" t="e">
        <f t="shared" si="2"/>
        <v>#DIV/0!</v>
      </c>
    </row>
    <row r="40" spans="1:11" ht="15" x14ac:dyDescent="0.25">
      <c r="A40" s="20" t="s">
        <v>340</v>
      </c>
      <c r="B40" s="6" t="s">
        <v>341</v>
      </c>
      <c r="C40" s="7">
        <v>1972</v>
      </c>
      <c r="D40" s="7"/>
      <c r="E40" s="7">
        <f t="shared" si="4"/>
        <v>1972</v>
      </c>
      <c r="F40" s="7">
        <v>35000</v>
      </c>
      <c r="G40" s="7">
        <f t="shared" si="5"/>
        <v>33028</v>
      </c>
      <c r="H40" s="48">
        <f t="shared" si="1"/>
        <v>17.748478701825558</v>
      </c>
      <c r="I40" s="48" t="e">
        <f t="shared" si="2"/>
        <v>#DIV/0!</v>
      </c>
    </row>
    <row r="41" spans="1:11" ht="15" x14ac:dyDescent="0.25">
      <c r="A41" s="20" t="s">
        <v>342</v>
      </c>
      <c r="B41" s="6" t="s">
        <v>343</v>
      </c>
      <c r="C41" s="7">
        <v>7000</v>
      </c>
      <c r="D41" s="7"/>
      <c r="E41" s="7">
        <f t="shared" si="4"/>
        <v>7000</v>
      </c>
      <c r="F41" s="7">
        <v>0</v>
      </c>
      <c r="G41" s="7">
        <f t="shared" si="5"/>
        <v>-7000</v>
      </c>
      <c r="H41" s="58">
        <f t="shared" si="1"/>
        <v>0</v>
      </c>
      <c r="I41" s="58" t="e">
        <f t="shared" si="2"/>
        <v>#DIV/0!</v>
      </c>
    </row>
    <row r="42" spans="1:11" ht="15" x14ac:dyDescent="0.25">
      <c r="A42" s="20" t="s">
        <v>344</v>
      </c>
      <c r="B42" s="6" t="s">
        <v>345</v>
      </c>
      <c r="C42" s="7">
        <v>3876</v>
      </c>
      <c r="D42" s="7"/>
      <c r="E42" s="7">
        <f t="shared" si="4"/>
        <v>3876</v>
      </c>
      <c r="F42" s="7">
        <v>3726</v>
      </c>
      <c r="G42" s="7">
        <f t="shared" si="5"/>
        <v>-150</v>
      </c>
      <c r="H42" s="58">
        <f t="shared" si="1"/>
        <v>0.96130030959752322</v>
      </c>
      <c r="I42" s="58" t="e">
        <f t="shared" si="2"/>
        <v>#DIV/0!</v>
      </c>
    </row>
    <row r="43" spans="1:11" ht="15" x14ac:dyDescent="0.25">
      <c r="A43" s="20" t="s">
        <v>346</v>
      </c>
      <c r="B43" s="6" t="s">
        <v>53</v>
      </c>
      <c r="C43" s="7">
        <v>829234</v>
      </c>
      <c r="D43" s="7"/>
      <c r="E43" s="7">
        <f t="shared" si="4"/>
        <v>829234</v>
      </c>
      <c r="F43" s="7">
        <v>1000966</v>
      </c>
      <c r="G43" s="7">
        <f t="shared" si="5"/>
        <v>171732</v>
      </c>
      <c r="H43" s="48">
        <f t="shared" si="1"/>
        <v>1.2070971523116514</v>
      </c>
      <c r="I43" s="48" t="e">
        <f t="shared" si="2"/>
        <v>#DIV/0!</v>
      </c>
      <c r="J43" s="2">
        <v>1001179</v>
      </c>
      <c r="K43" s="2">
        <f>F43</f>
        <v>1000966</v>
      </c>
    </row>
    <row r="44" spans="1:11" ht="15" x14ac:dyDescent="0.25">
      <c r="A44" s="20" t="s">
        <v>347</v>
      </c>
      <c r="B44" s="6" t="s">
        <v>348</v>
      </c>
      <c r="C44" s="7">
        <v>0</v>
      </c>
      <c r="D44" s="7"/>
      <c r="E44" s="7">
        <f t="shared" si="4"/>
        <v>0</v>
      </c>
      <c r="F44" s="7">
        <v>15131</v>
      </c>
      <c r="G44" s="7">
        <f t="shared" si="5"/>
        <v>15131</v>
      </c>
      <c r="H44" s="48" t="e">
        <f t="shared" si="1"/>
        <v>#DIV/0!</v>
      </c>
      <c r="I44" s="48" t="e">
        <f t="shared" si="2"/>
        <v>#DIV/0!</v>
      </c>
      <c r="J44" s="2">
        <v>16901</v>
      </c>
      <c r="K44" s="2">
        <f t="shared" ref="K44:K49" si="6">F44</f>
        <v>15131</v>
      </c>
    </row>
    <row r="45" spans="1:11" ht="15" x14ac:dyDescent="0.25">
      <c r="A45" s="20" t="s">
        <v>349</v>
      </c>
      <c r="B45" s="6" t="s">
        <v>122</v>
      </c>
      <c r="C45" s="7">
        <v>46612</v>
      </c>
      <c r="D45" s="7"/>
      <c r="E45" s="7">
        <f t="shared" si="4"/>
        <v>46612</v>
      </c>
      <c r="F45" s="7">
        <v>64085</v>
      </c>
      <c r="G45" s="7">
        <f t="shared" si="5"/>
        <v>17473</v>
      </c>
      <c r="H45" s="48">
        <f t="shared" si="1"/>
        <v>1.3748605509310907</v>
      </c>
      <c r="I45" s="48" t="e">
        <f t="shared" si="2"/>
        <v>#DIV/0!</v>
      </c>
      <c r="J45" s="2">
        <v>62902</v>
      </c>
      <c r="K45" s="2">
        <f t="shared" si="6"/>
        <v>64085</v>
      </c>
    </row>
    <row r="46" spans="1:11" ht="15" x14ac:dyDescent="0.25">
      <c r="A46" s="20" t="s">
        <v>350</v>
      </c>
      <c r="B46" s="6" t="s">
        <v>59</v>
      </c>
      <c r="C46" s="7">
        <v>16171</v>
      </c>
      <c r="D46" s="7"/>
      <c r="E46" s="7">
        <f t="shared" si="4"/>
        <v>16171</v>
      </c>
      <c r="F46" s="7">
        <v>19814</v>
      </c>
      <c r="G46" s="7">
        <f t="shared" si="5"/>
        <v>3643</v>
      </c>
      <c r="H46" s="48">
        <f t="shared" si="1"/>
        <v>1.2252798219034073</v>
      </c>
      <c r="I46" s="48" t="e">
        <f t="shared" si="2"/>
        <v>#DIV/0!</v>
      </c>
      <c r="J46" s="2">
        <v>19546</v>
      </c>
      <c r="K46" s="2">
        <f t="shared" si="6"/>
        <v>19814</v>
      </c>
    </row>
    <row r="47" spans="1:11" ht="15" x14ac:dyDescent="0.25">
      <c r="A47" s="20" t="s">
        <v>351</v>
      </c>
      <c r="B47" s="6" t="s">
        <v>61</v>
      </c>
      <c r="C47" s="7">
        <v>23806</v>
      </c>
      <c r="D47" s="7"/>
      <c r="E47" s="7">
        <f t="shared" si="4"/>
        <v>23806</v>
      </c>
      <c r="F47" s="7">
        <v>30513</v>
      </c>
      <c r="G47" s="7">
        <f t="shared" si="5"/>
        <v>6707</v>
      </c>
      <c r="H47" s="48">
        <f t="shared" si="1"/>
        <v>1.2817356968831386</v>
      </c>
      <c r="I47" s="48" t="e">
        <f t="shared" si="2"/>
        <v>#DIV/0!</v>
      </c>
      <c r="J47" s="2">
        <v>30079</v>
      </c>
      <c r="K47" s="2">
        <f t="shared" si="6"/>
        <v>30513</v>
      </c>
    </row>
    <row r="48" spans="1:11" ht="15" x14ac:dyDescent="0.25">
      <c r="A48" s="20" t="s">
        <v>352</v>
      </c>
      <c r="B48" s="6" t="s">
        <v>63</v>
      </c>
      <c r="C48" s="7">
        <v>87468</v>
      </c>
      <c r="D48" s="7"/>
      <c r="E48" s="7">
        <f t="shared" si="4"/>
        <v>87468</v>
      </c>
      <c r="F48" s="7">
        <v>103867</v>
      </c>
      <c r="G48" s="7">
        <f t="shared" si="5"/>
        <v>16399</v>
      </c>
      <c r="H48" s="48">
        <f t="shared" si="1"/>
        <v>1.1874857090593132</v>
      </c>
      <c r="I48" s="48" t="e">
        <f t="shared" si="2"/>
        <v>#DIV/0!</v>
      </c>
      <c r="J48" s="2">
        <v>102166</v>
      </c>
      <c r="K48" s="2">
        <f t="shared" si="6"/>
        <v>103867</v>
      </c>
    </row>
    <row r="49" spans="1:12" ht="15" x14ac:dyDescent="0.25">
      <c r="A49" s="20" t="s">
        <v>353</v>
      </c>
      <c r="B49" s="6" t="s">
        <v>65</v>
      </c>
      <c r="C49" s="7">
        <v>109608</v>
      </c>
      <c r="D49" s="7"/>
      <c r="E49" s="7">
        <f t="shared" si="4"/>
        <v>109608</v>
      </c>
      <c r="F49" s="7">
        <v>122259</v>
      </c>
      <c r="G49" s="7">
        <f t="shared" si="5"/>
        <v>12651</v>
      </c>
      <c r="H49" s="48">
        <f t="shared" si="1"/>
        <v>1.1154204072695424</v>
      </c>
      <c r="I49" s="48" t="e">
        <f t="shared" si="2"/>
        <v>#DIV/0!</v>
      </c>
      <c r="J49" s="2">
        <v>122259</v>
      </c>
      <c r="K49" s="2">
        <f t="shared" si="6"/>
        <v>122259</v>
      </c>
    </row>
    <row r="50" spans="1:12" ht="15" x14ac:dyDescent="0.25">
      <c r="A50" s="20" t="s">
        <v>354</v>
      </c>
      <c r="B50" s="6" t="s">
        <v>67</v>
      </c>
      <c r="C50" s="7">
        <v>900</v>
      </c>
      <c r="D50" s="7"/>
      <c r="E50" s="7">
        <f t="shared" si="4"/>
        <v>900</v>
      </c>
      <c r="F50" s="7">
        <v>2600</v>
      </c>
      <c r="G50" s="7">
        <f t="shared" si="5"/>
        <v>1700</v>
      </c>
      <c r="H50" s="48">
        <f>F50/C50</f>
        <v>2.8888888888888888</v>
      </c>
      <c r="I50" s="48" t="e">
        <f>F50/D50</f>
        <v>#DIV/0!</v>
      </c>
      <c r="J50" s="2">
        <v>2600</v>
      </c>
      <c r="K50" s="2">
        <f>F50</f>
        <v>2600</v>
      </c>
      <c r="L50" s="2"/>
    </row>
    <row r="51" spans="1:12" ht="15" x14ac:dyDescent="0.25">
      <c r="A51" s="20" t="s">
        <v>355</v>
      </c>
      <c r="B51" s="6" t="s">
        <v>356</v>
      </c>
      <c r="C51" s="7">
        <v>1609</v>
      </c>
      <c r="D51" s="7"/>
      <c r="E51" s="7">
        <f t="shared" si="4"/>
        <v>1609</v>
      </c>
      <c r="F51" s="7">
        <v>1609</v>
      </c>
      <c r="G51" s="7">
        <f t="shared" si="5"/>
        <v>0</v>
      </c>
      <c r="H51" s="48">
        <f t="shared" si="1"/>
        <v>1</v>
      </c>
      <c r="I51" s="48" t="e">
        <f t="shared" si="2"/>
        <v>#DIV/0!</v>
      </c>
      <c r="J51" s="2">
        <f>SUM(J43:J50)</f>
        <v>1357632</v>
      </c>
      <c r="K51" s="2">
        <f>SUM(K43:K50)</f>
        <v>1359235</v>
      </c>
    </row>
    <row r="52" spans="1:12" ht="15" x14ac:dyDescent="0.25">
      <c r="A52" s="20" t="s">
        <v>357</v>
      </c>
      <c r="B52" s="6" t="s">
        <v>358</v>
      </c>
      <c r="C52" s="7">
        <v>5937</v>
      </c>
      <c r="D52" s="7"/>
      <c r="E52" s="7">
        <f t="shared" si="4"/>
        <v>5937</v>
      </c>
      <c r="F52" s="7">
        <v>4250</v>
      </c>
      <c r="G52" s="7">
        <f t="shared" si="5"/>
        <v>-1687</v>
      </c>
      <c r="H52" s="48">
        <f t="shared" si="1"/>
        <v>0.71584975576890686</v>
      </c>
      <c r="I52" s="48" t="e">
        <f t="shared" si="2"/>
        <v>#DIV/0!</v>
      </c>
    </row>
    <row r="53" spans="1:12" ht="15" x14ac:dyDescent="0.25">
      <c r="A53" s="20" t="s">
        <v>359</v>
      </c>
      <c r="B53" s="6" t="s">
        <v>360</v>
      </c>
      <c r="C53" s="7">
        <v>6730</v>
      </c>
      <c r="D53" s="7"/>
      <c r="E53" s="7">
        <f t="shared" si="4"/>
        <v>6730</v>
      </c>
      <c r="F53" s="7">
        <v>7130</v>
      </c>
      <c r="G53" s="7">
        <f t="shared" si="5"/>
        <v>400</v>
      </c>
      <c r="H53" s="48">
        <f t="shared" si="1"/>
        <v>1.0594353640416048</v>
      </c>
      <c r="I53" s="48" t="e">
        <f t="shared" si="2"/>
        <v>#DIV/0!</v>
      </c>
      <c r="J53" s="2"/>
    </row>
    <row r="54" spans="1:12" ht="15" x14ac:dyDescent="0.25">
      <c r="A54" s="20" t="s">
        <v>361</v>
      </c>
      <c r="B54" s="6" t="s">
        <v>362</v>
      </c>
      <c r="C54" s="7">
        <v>455</v>
      </c>
      <c r="D54" s="7"/>
      <c r="E54" s="7">
        <f t="shared" si="4"/>
        <v>455</v>
      </c>
      <c r="F54" s="7">
        <v>365</v>
      </c>
      <c r="G54" s="7">
        <f t="shared" si="5"/>
        <v>-90</v>
      </c>
      <c r="H54" s="48">
        <f t="shared" si="1"/>
        <v>0.80219780219780223</v>
      </c>
      <c r="I54" s="48" t="e">
        <f t="shared" si="2"/>
        <v>#DIV/0!</v>
      </c>
    </row>
    <row r="55" spans="1:12" s="4" customFormat="1" ht="15" x14ac:dyDescent="0.25">
      <c r="A55" s="20" t="s">
        <v>363</v>
      </c>
      <c r="B55" s="6" t="s">
        <v>79</v>
      </c>
      <c r="C55" s="7">
        <v>16206</v>
      </c>
      <c r="D55" s="7"/>
      <c r="E55" s="7">
        <f t="shared" si="4"/>
        <v>16206</v>
      </c>
      <c r="F55" s="7">
        <v>20699</v>
      </c>
      <c r="G55" s="7">
        <f t="shared" si="5"/>
        <v>4493</v>
      </c>
      <c r="H55" s="48">
        <f t="shared" si="1"/>
        <v>1.2772429964210785</v>
      </c>
      <c r="I55" s="48" t="e">
        <f t="shared" si="2"/>
        <v>#DIV/0!</v>
      </c>
    </row>
    <row r="56" spans="1:12" ht="15" x14ac:dyDescent="0.25">
      <c r="A56" s="20" t="s">
        <v>364</v>
      </c>
      <c r="B56" s="6" t="s">
        <v>81</v>
      </c>
      <c r="C56" s="7">
        <v>11924</v>
      </c>
      <c r="D56" s="7"/>
      <c r="E56" s="7">
        <f t="shared" si="4"/>
        <v>11924</v>
      </c>
      <c r="F56" s="7">
        <v>11520</v>
      </c>
      <c r="G56" s="7">
        <f t="shared" si="5"/>
        <v>-404</v>
      </c>
      <c r="H56" s="48">
        <f t="shared" si="1"/>
        <v>0.96611875209661191</v>
      </c>
      <c r="I56" s="48" t="e">
        <f t="shared" si="2"/>
        <v>#DIV/0!</v>
      </c>
    </row>
    <row r="57" spans="1:12" ht="15" x14ac:dyDescent="0.25">
      <c r="A57" s="20" t="s">
        <v>365</v>
      </c>
      <c r="B57" s="6" t="s">
        <v>366</v>
      </c>
      <c r="C57" s="7">
        <v>8500</v>
      </c>
      <c r="D57" s="7"/>
      <c r="E57" s="7">
        <f t="shared" si="4"/>
        <v>8500</v>
      </c>
      <c r="F57" s="7">
        <v>7500</v>
      </c>
      <c r="G57" s="7">
        <f t="shared" si="5"/>
        <v>-1000</v>
      </c>
      <c r="H57" s="48">
        <f t="shared" si="1"/>
        <v>0.88235294117647056</v>
      </c>
      <c r="I57" s="48" t="e">
        <f t="shared" si="2"/>
        <v>#DIV/0!</v>
      </c>
    </row>
    <row r="58" spans="1:12" ht="15" x14ac:dyDescent="0.25">
      <c r="A58" s="20" t="s">
        <v>367</v>
      </c>
      <c r="B58" s="6" t="s">
        <v>368</v>
      </c>
      <c r="C58" s="7">
        <v>11501</v>
      </c>
      <c r="D58" s="7"/>
      <c r="E58" s="7">
        <f t="shared" si="4"/>
        <v>11501</v>
      </c>
      <c r="F58" s="7">
        <v>12894</v>
      </c>
      <c r="G58" s="7">
        <f t="shared" si="5"/>
        <v>1393</v>
      </c>
      <c r="H58" s="48">
        <f t="shared" si="1"/>
        <v>1.1211199026171637</v>
      </c>
      <c r="I58" s="48" t="e">
        <f t="shared" si="2"/>
        <v>#DIV/0!</v>
      </c>
    </row>
    <row r="59" spans="1:12" ht="15" x14ac:dyDescent="0.25">
      <c r="A59" s="20" t="s">
        <v>369</v>
      </c>
      <c r="B59" s="6" t="s">
        <v>370</v>
      </c>
      <c r="C59" s="7">
        <v>14000</v>
      </c>
      <c r="D59" s="7"/>
      <c r="E59" s="7">
        <f t="shared" ref="E59:E106" si="7">C59-D59</f>
        <v>14000</v>
      </c>
      <c r="F59" s="7">
        <v>11600</v>
      </c>
      <c r="G59" s="7">
        <f t="shared" si="5"/>
        <v>-2400</v>
      </c>
      <c r="H59" s="48">
        <f t="shared" si="1"/>
        <v>0.82857142857142863</v>
      </c>
      <c r="I59" s="48" t="e">
        <f t="shared" si="2"/>
        <v>#DIV/0!</v>
      </c>
    </row>
    <row r="60" spans="1:12" s="4" customFormat="1" ht="15" x14ac:dyDescent="0.25">
      <c r="A60" s="20" t="s">
        <v>371</v>
      </c>
      <c r="B60" s="6" t="s">
        <v>83</v>
      </c>
      <c r="C60" s="7">
        <v>2065</v>
      </c>
      <c r="D60" s="7"/>
      <c r="E60" s="7">
        <f t="shared" si="7"/>
        <v>2065</v>
      </c>
      <c r="F60" s="43">
        <v>4983</v>
      </c>
      <c r="G60" s="7">
        <f t="shared" si="5"/>
        <v>2918</v>
      </c>
      <c r="H60" s="48">
        <f t="shared" si="1"/>
        <v>2.4130750605326878</v>
      </c>
      <c r="I60" s="48" t="e">
        <f t="shared" si="2"/>
        <v>#DIV/0!</v>
      </c>
    </row>
    <row r="61" spans="1:12" ht="15" x14ac:dyDescent="0.25">
      <c r="A61" s="20" t="s">
        <v>372</v>
      </c>
      <c r="B61" s="6" t="s">
        <v>85</v>
      </c>
      <c r="C61" s="7">
        <v>1402</v>
      </c>
      <c r="D61" s="7"/>
      <c r="E61" s="7">
        <f t="shared" si="7"/>
        <v>1402</v>
      </c>
      <c r="F61" s="7">
        <v>5866</v>
      </c>
      <c r="G61" s="7">
        <f t="shared" si="5"/>
        <v>4464</v>
      </c>
      <c r="H61" s="48">
        <f t="shared" si="1"/>
        <v>4.1840228245363766</v>
      </c>
      <c r="I61" s="48" t="e">
        <f t="shared" si="2"/>
        <v>#DIV/0!</v>
      </c>
    </row>
    <row r="62" spans="1:12" ht="15" x14ac:dyDescent="0.25">
      <c r="A62" s="20" t="s">
        <v>373</v>
      </c>
      <c r="B62" s="6" t="s">
        <v>87</v>
      </c>
      <c r="C62" s="7">
        <v>43877</v>
      </c>
      <c r="D62" s="7"/>
      <c r="E62" s="7">
        <f t="shared" si="7"/>
        <v>43877</v>
      </c>
      <c r="F62" s="7">
        <v>46071</v>
      </c>
      <c r="G62" s="7">
        <f t="shared" si="5"/>
        <v>2194</v>
      </c>
      <c r="H62" s="48">
        <f t="shared" si="1"/>
        <v>1.0500034186475831</v>
      </c>
      <c r="I62" s="48" t="e">
        <f t="shared" si="2"/>
        <v>#DIV/0!</v>
      </c>
    </row>
    <row r="63" spans="1:12" s="4" customFormat="1" ht="15" x14ac:dyDescent="0.25">
      <c r="A63" s="20" t="s">
        <v>374</v>
      </c>
      <c r="B63" s="6" t="s">
        <v>375</v>
      </c>
      <c r="C63" s="7">
        <v>30000</v>
      </c>
      <c r="D63" s="7"/>
      <c r="E63" s="7">
        <f t="shared" si="7"/>
        <v>30000</v>
      </c>
      <c r="F63" s="7">
        <v>30000</v>
      </c>
      <c r="G63" s="7">
        <f t="shared" si="5"/>
        <v>0</v>
      </c>
      <c r="H63" s="48">
        <f t="shared" si="1"/>
        <v>1</v>
      </c>
      <c r="I63" s="48" t="e">
        <f t="shared" si="2"/>
        <v>#DIV/0!</v>
      </c>
    </row>
    <row r="64" spans="1:12" ht="15" x14ac:dyDescent="0.25">
      <c r="A64" s="20" t="s">
        <v>376</v>
      </c>
      <c r="B64" s="6" t="s">
        <v>89</v>
      </c>
      <c r="C64" s="7">
        <v>15000</v>
      </c>
      <c r="D64" s="7"/>
      <c r="E64" s="7">
        <f t="shared" si="7"/>
        <v>15000</v>
      </c>
      <c r="F64" s="7">
        <v>17500</v>
      </c>
      <c r="G64" s="7">
        <f t="shared" si="5"/>
        <v>2500</v>
      </c>
      <c r="H64" s="48">
        <f t="shared" si="1"/>
        <v>1.1666666666666667</v>
      </c>
      <c r="I64" s="48" t="e">
        <f t="shared" si="2"/>
        <v>#DIV/0!</v>
      </c>
    </row>
    <row r="65" spans="1:10" ht="15" x14ac:dyDescent="0.25">
      <c r="A65" s="20" t="s">
        <v>377</v>
      </c>
      <c r="B65" s="6" t="s">
        <v>239</v>
      </c>
      <c r="C65" s="7">
        <v>40250</v>
      </c>
      <c r="D65" s="7"/>
      <c r="E65" s="7">
        <f t="shared" si="7"/>
        <v>40250</v>
      </c>
      <c r="F65" s="7">
        <v>47500</v>
      </c>
      <c r="G65" s="7">
        <f t="shared" si="5"/>
        <v>7250</v>
      </c>
      <c r="H65" s="48">
        <f t="shared" si="1"/>
        <v>1.1801242236024845</v>
      </c>
      <c r="I65" s="48" t="e">
        <f t="shared" si="2"/>
        <v>#DIV/0!</v>
      </c>
    </row>
    <row r="66" spans="1:10" s="4" customFormat="1" ht="15" x14ac:dyDescent="0.25">
      <c r="A66" s="20" t="s">
        <v>378</v>
      </c>
      <c r="B66" s="6" t="s">
        <v>131</v>
      </c>
      <c r="C66" s="7">
        <v>40000</v>
      </c>
      <c r="D66" s="7"/>
      <c r="E66" s="7">
        <f t="shared" si="7"/>
        <v>40000</v>
      </c>
      <c r="F66" s="7">
        <v>35000</v>
      </c>
      <c r="G66" s="7">
        <f t="shared" si="5"/>
        <v>-5000</v>
      </c>
      <c r="H66" s="48">
        <f t="shared" si="1"/>
        <v>0.875</v>
      </c>
      <c r="I66" s="48" t="e">
        <f t="shared" si="2"/>
        <v>#DIV/0!</v>
      </c>
    </row>
    <row r="67" spans="1:10" ht="15" x14ac:dyDescent="0.25">
      <c r="A67" s="22" t="s">
        <v>379</v>
      </c>
      <c r="B67" s="6" t="s">
        <v>91</v>
      </c>
      <c r="C67" s="7">
        <v>2452</v>
      </c>
      <c r="D67" s="7"/>
      <c r="E67" s="7">
        <f t="shared" si="7"/>
        <v>2452</v>
      </c>
      <c r="F67" s="7">
        <v>2652</v>
      </c>
      <c r="G67" s="7">
        <f t="shared" si="5"/>
        <v>200</v>
      </c>
      <c r="H67" s="48">
        <f t="shared" ref="H67:H111" si="8">F67/C67</f>
        <v>1.0815660685154975</v>
      </c>
      <c r="I67" s="48" t="e">
        <f t="shared" ref="I67:I111" si="9">F67/D67</f>
        <v>#DIV/0!</v>
      </c>
    </row>
    <row r="68" spans="1:10" ht="15" x14ac:dyDescent="0.25">
      <c r="A68" s="20" t="s">
        <v>380</v>
      </c>
      <c r="B68" s="6" t="s">
        <v>95</v>
      </c>
      <c r="C68" s="7">
        <v>9600</v>
      </c>
      <c r="D68" s="7"/>
      <c r="E68" s="7">
        <f t="shared" si="7"/>
        <v>9600</v>
      </c>
      <c r="F68" s="7">
        <v>8400</v>
      </c>
      <c r="G68" s="7">
        <f t="shared" si="5"/>
        <v>-1200</v>
      </c>
      <c r="H68" s="48">
        <f t="shared" si="8"/>
        <v>0.875</v>
      </c>
      <c r="I68" s="48" t="e">
        <f t="shared" si="9"/>
        <v>#DIV/0!</v>
      </c>
    </row>
    <row r="69" spans="1:10" ht="15" x14ac:dyDescent="0.25">
      <c r="A69" s="20" t="s">
        <v>381</v>
      </c>
      <c r="B69" s="6" t="s">
        <v>242</v>
      </c>
      <c r="C69" s="7">
        <v>4330</v>
      </c>
      <c r="D69" s="7"/>
      <c r="E69" s="7">
        <f t="shared" si="7"/>
        <v>4330</v>
      </c>
      <c r="F69" s="7">
        <v>4100</v>
      </c>
      <c r="G69" s="7">
        <f t="shared" si="5"/>
        <v>-230</v>
      </c>
      <c r="H69" s="48">
        <f t="shared" si="8"/>
        <v>0.94688221709006926</v>
      </c>
      <c r="I69" s="48" t="e">
        <f t="shared" si="9"/>
        <v>#DIV/0!</v>
      </c>
    </row>
    <row r="70" spans="1:10" ht="15" x14ac:dyDescent="0.25">
      <c r="A70" s="20" t="s">
        <v>382</v>
      </c>
      <c r="B70" s="6" t="s">
        <v>383</v>
      </c>
      <c r="C70" s="7">
        <v>1160</v>
      </c>
      <c r="D70" s="7"/>
      <c r="E70" s="7">
        <f t="shared" si="7"/>
        <v>1160</v>
      </c>
      <c r="F70" s="7">
        <v>1000</v>
      </c>
      <c r="G70" s="7">
        <f t="shared" si="5"/>
        <v>-160</v>
      </c>
      <c r="H70" s="48">
        <f t="shared" si="8"/>
        <v>0.86206896551724133</v>
      </c>
      <c r="I70" s="48" t="e">
        <f t="shared" si="9"/>
        <v>#DIV/0!</v>
      </c>
    </row>
    <row r="71" spans="1:10" ht="15" x14ac:dyDescent="0.25">
      <c r="A71" s="20" t="s">
        <v>384</v>
      </c>
      <c r="B71" s="6" t="s">
        <v>385</v>
      </c>
      <c r="C71" s="7">
        <v>13000</v>
      </c>
      <c r="D71" s="7"/>
      <c r="E71" s="7">
        <f t="shared" si="7"/>
        <v>13000</v>
      </c>
      <c r="F71" s="7">
        <v>16000</v>
      </c>
      <c r="G71" s="7">
        <f t="shared" si="5"/>
        <v>3000</v>
      </c>
      <c r="H71" s="48">
        <f t="shared" si="8"/>
        <v>1.2307692307692308</v>
      </c>
      <c r="I71" s="48" t="e">
        <f t="shared" si="9"/>
        <v>#DIV/0!</v>
      </c>
    </row>
    <row r="72" spans="1:10" s="4" customFormat="1" ht="15" x14ac:dyDescent="0.25">
      <c r="A72" s="20" t="s">
        <v>386</v>
      </c>
      <c r="B72" s="6" t="s">
        <v>97</v>
      </c>
      <c r="C72" s="7">
        <v>0</v>
      </c>
      <c r="D72" s="7"/>
      <c r="E72" s="7">
        <f t="shared" si="7"/>
        <v>0</v>
      </c>
      <c r="F72" s="7">
        <v>0</v>
      </c>
      <c r="G72" s="7">
        <f t="shared" si="5"/>
        <v>0</v>
      </c>
      <c r="H72" s="48" t="e">
        <f t="shared" si="8"/>
        <v>#DIV/0!</v>
      </c>
      <c r="I72" s="48" t="e">
        <f t="shared" si="9"/>
        <v>#DIV/0!</v>
      </c>
    </row>
    <row r="73" spans="1:10" s="4" customFormat="1" ht="15" x14ac:dyDescent="0.25">
      <c r="A73" s="20" t="s">
        <v>387</v>
      </c>
      <c r="B73" s="6" t="s">
        <v>99</v>
      </c>
      <c r="C73" s="7">
        <v>0</v>
      </c>
      <c r="D73" s="7"/>
      <c r="E73" s="7">
        <f t="shared" si="7"/>
        <v>0</v>
      </c>
      <c r="F73" s="7">
        <v>0</v>
      </c>
      <c r="G73" s="7">
        <f t="shared" si="5"/>
        <v>0</v>
      </c>
      <c r="H73" s="48" t="e">
        <f t="shared" si="8"/>
        <v>#DIV/0!</v>
      </c>
      <c r="I73" s="48" t="e">
        <f t="shared" si="9"/>
        <v>#DIV/0!</v>
      </c>
    </row>
    <row r="74" spans="1:10" ht="15" x14ac:dyDescent="0.25">
      <c r="A74" s="20" t="s">
        <v>388</v>
      </c>
      <c r="B74" s="6" t="s">
        <v>205</v>
      </c>
      <c r="C74" s="7">
        <v>5000</v>
      </c>
      <c r="D74" s="7"/>
      <c r="E74" s="7">
        <f t="shared" si="7"/>
        <v>5000</v>
      </c>
      <c r="F74" s="7">
        <v>7248</v>
      </c>
      <c r="G74" s="7">
        <f t="shared" si="5"/>
        <v>2248</v>
      </c>
      <c r="H74" s="48">
        <f t="shared" si="8"/>
        <v>1.4496</v>
      </c>
      <c r="I74" s="48" t="e">
        <f t="shared" si="9"/>
        <v>#DIV/0!</v>
      </c>
    </row>
    <row r="75" spans="1:10" ht="15" x14ac:dyDescent="0.25">
      <c r="A75" s="20" t="s">
        <v>389</v>
      </c>
      <c r="B75" s="6" t="s">
        <v>390</v>
      </c>
      <c r="C75" s="7">
        <v>97335</v>
      </c>
      <c r="D75" s="7"/>
      <c r="E75" s="7">
        <f t="shared" si="7"/>
        <v>97335</v>
      </c>
      <c r="F75" s="7">
        <v>73000</v>
      </c>
      <c r="G75" s="7">
        <f t="shared" si="5"/>
        <v>-24335</v>
      </c>
      <c r="H75" s="48">
        <f t="shared" si="8"/>
        <v>0.74998715775414804</v>
      </c>
      <c r="I75" s="48" t="e">
        <f t="shared" si="9"/>
        <v>#DIV/0!</v>
      </c>
    </row>
    <row r="76" spans="1:10" ht="15" x14ac:dyDescent="0.25">
      <c r="A76" s="20" t="s">
        <v>391</v>
      </c>
      <c r="B76" s="6" t="s">
        <v>392</v>
      </c>
      <c r="C76" s="7">
        <v>0</v>
      </c>
      <c r="D76" s="7"/>
      <c r="E76" s="7">
        <f t="shared" si="7"/>
        <v>0</v>
      </c>
      <c r="F76" s="7">
        <v>0</v>
      </c>
      <c r="G76" s="7">
        <f t="shared" si="5"/>
        <v>0</v>
      </c>
      <c r="H76" s="48" t="e">
        <f t="shared" si="8"/>
        <v>#DIV/0!</v>
      </c>
      <c r="I76" s="48" t="e">
        <f t="shared" si="9"/>
        <v>#DIV/0!</v>
      </c>
    </row>
    <row r="77" spans="1:10" ht="15" x14ac:dyDescent="0.25">
      <c r="A77" s="20" t="s">
        <v>393</v>
      </c>
      <c r="B77" s="6" t="s">
        <v>101</v>
      </c>
      <c r="C77" s="7">
        <v>2657</v>
      </c>
      <c r="D77" s="7"/>
      <c r="E77" s="7">
        <f t="shared" si="7"/>
        <v>2657</v>
      </c>
      <c r="F77" s="7">
        <v>2700</v>
      </c>
      <c r="G77" s="7">
        <f t="shared" si="5"/>
        <v>43</v>
      </c>
      <c r="H77" s="48">
        <f t="shared" si="8"/>
        <v>1.0161836657884833</v>
      </c>
      <c r="I77" s="48" t="e">
        <f t="shared" si="9"/>
        <v>#DIV/0!</v>
      </c>
      <c r="J77" s="4"/>
    </row>
    <row r="78" spans="1:10" ht="15" x14ac:dyDescent="0.25">
      <c r="A78" s="23" t="s">
        <v>394</v>
      </c>
      <c r="B78" s="6" t="s">
        <v>395</v>
      </c>
      <c r="C78" s="7">
        <v>1000</v>
      </c>
      <c r="D78" s="7"/>
      <c r="E78" s="7">
        <f t="shared" si="7"/>
        <v>1000</v>
      </c>
      <c r="F78" s="7">
        <v>500</v>
      </c>
      <c r="G78" s="7">
        <f t="shared" si="5"/>
        <v>-500</v>
      </c>
      <c r="H78" s="48">
        <f t="shared" si="8"/>
        <v>0.5</v>
      </c>
      <c r="I78" s="48" t="e">
        <f t="shared" si="9"/>
        <v>#DIV/0!</v>
      </c>
    </row>
    <row r="79" spans="1:10" s="4" customFormat="1" ht="15" x14ac:dyDescent="0.25">
      <c r="A79" s="23" t="s">
        <v>396</v>
      </c>
      <c r="B79" s="6" t="s">
        <v>103</v>
      </c>
      <c r="C79" s="7">
        <v>12240</v>
      </c>
      <c r="D79" s="7"/>
      <c r="E79" s="7">
        <f t="shared" si="7"/>
        <v>12240</v>
      </c>
      <c r="F79" s="7">
        <v>12240</v>
      </c>
      <c r="G79" s="7">
        <f t="shared" si="5"/>
        <v>0</v>
      </c>
      <c r="H79" s="48">
        <f t="shared" si="8"/>
        <v>1</v>
      </c>
      <c r="I79" s="48" t="e">
        <f t="shared" si="9"/>
        <v>#DIV/0!</v>
      </c>
    </row>
    <row r="80" spans="1:10" ht="15" x14ac:dyDescent="0.25">
      <c r="A80" s="20" t="s">
        <v>397</v>
      </c>
      <c r="B80" s="6" t="s">
        <v>398</v>
      </c>
      <c r="C80" s="7">
        <v>15242</v>
      </c>
      <c r="D80" s="7"/>
      <c r="E80" s="7">
        <f t="shared" si="7"/>
        <v>15242</v>
      </c>
      <c r="F80" s="7">
        <v>15700</v>
      </c>
      <c r="G80" s="7">
        <f t="shared" si="5"/>
        <v>458</v>
      </c>
      <c r="H80" s="48">
        <f t="shared" si="8"/>
        <v>1.0300485500590473</v>
      </c>
      <c r="I80" s="48" t="e">
        <f t="shared" si="9"/>
        <v>#DIV/0!</v>
      </c>
    </row>
    <row r="81" spans="1:9" ht="15" x14ac:dyDescent="0.25">
      <c r="A81" s="20" t="s">
        <v>399</v>
      </c>
      <c r="B81" s="6" t="s">
        <v>400</v>
      </c>
      <c r="C81" s="7">
        <v>9405</v>
      </c>
      <c r="D81" s="7"/>
      <c r="E81" s="7">
        <f t="shared" si="7"/>
        <v>9405</v>
      </c>
      <c r="F81" s="7">
        <v>9344</v>
      </c>
      <c r="G81" s="7">
        <f t="shared" si="5"/>
        <v>-61</v>
      </c>
      <c r="H81" s="48">
        <f t="shared" si="8"/>
        <v>0.99351408825093035</v>
      </c>
      <c r="I81" s="48" t="e">
        <f t="shared" si="9"/>
        <v>#DIV/0!</v>
      </c>
    </row>
    <row r="82" spans="1:9" ht="15" x14ac:dyDescent="0.25">
      <c r="A82" s="20" t="s">
        <v>401</v>
      </c>
      <c r="B82" s="6" t="s">
        <v>402</v>
      </c>
      <c r="C82" s="7">
        <v>2564</v>
      </c>
      <c r="D82" s="7"/>
      <c r="E82" s="7">
        <f t="shared" si="7"/>
        <v>2564</v>
      </c>
      <c r="F82" s="43">
        <v>3767</v>
      </c>
      <c r="G82" s="7">
        <f t="shared" si="5"/>
        <v>1203</v>
      </c>
      <c r="H82" s="48">
        <f t="shared" si="8"/>
        <v>1.469188767550702</v>
      </c>
      <c r="I82" s="48" t="e">
        <f t="shared" si="9"/>
        <v>#DIV/0!</v>
      </c>
    </row>
    <row r="83" spans="1:9" ht="15" x14ac:dyDescent="0.25">
      <c r="A83" s="20" t="s">
        <v>403</v>
      </c>
      <c r="B83" s="6" t="s">
        <v>404</v>
      </c>
      <c r="C83" s="7">
        <v>1700</v>
      </c>
      <c r="D83" s="7">
        <v>0</v>
      </c>
      <c r="E83" s="7">
        <f t="shared" si="7"/>
        <v>1700</v>
      </c>
      <c r="F83" s="7">
        <v>0</v>
      </c>
      <c r="G83" s="7">
        <f t="shared" si="5"/>
        <v>-1700</v>
      </c>
      <c r="H83" s="48">
        <f t="shared" si="8"/>
        <v>0</v>
      </c>
      <c r="I83" s="48" t="e">
        <f t="shared" si="9"/>
        <v>#DIV/0!</v>
      </c>
    </row>
    <row r="84" spans="1:9" ht="15" x14ac:dyDescent="0.25">
      <c r="A84" s="20" t="s">
        <v>405</v>
      </c>
      <c r="B84" s="6" t="s">
        <v>406</v>
      </c>
      <c r="C84" s="7">
        <v>20050</v>
      </c>
      <c r="D84" s="7"/>
      <c r="E84" s="7">
        <f t="shared" si="7"/>
        <v>20050</v>
      </c>
      <c r="F84" s="43">
        <v>8021</v>
      </c>
      <c r="G84" s="7">
        <f t="shared" si="5"/>
        <v>-12029</v>
      </c>
      <c r="H84" s="48">
        <f t="shared" si="8"/>
        <v>0.4000498753117207</v>
      </c>
      <c r="I84" s="48" t="e">
        <f t="shared" si="9"/>
        <v>#DIV/0!</v>
      </c>
    </row>
    <row r="85" spans="1:9" ht="15" x14ac:dyDescent="0.25">
      <c r="A85" s="20" t="s">
        <v>407</v>
      </c>
      <c r="B85" s="6" t="s">
        <v>408</v>
      </c>
      <c r="C85" s="7">
        <v>4450</v>
      </c>
      <c r="D85" s="7"/>
      <c r="E85" s="7">
        <f t="shared" si="7"/>
        <v>4450</v>
      </c>
      <c r="F85" s="43">
        <v>3910</v>
      </c>
      <c r="G85" s="7">
        <f t="shared" si="5"/>
        <v>-540</v>
      </c>
      <c r="H85" s="48">
        <f t="shared" si="8"/>
        <v>0.87865168539325844</v>
      </c>
      <c r="I85" s="48" t="e">
        <f t="shared" si="9"/>
        <v>#DIV/0!</v>
      </c>
    </row>
    <row r="86" spans="1:9" ht="15" x14ac:dyDescent="0.25">
      <c r="A86" s="20" t="s">
        <v>409</v>
      </c>
      <c r="B86" s="6" t="s">
        <v>410</v>
      </c>
      <c r="C86" s="7">
        <v>0</v>
      </c>
      <c r="D86" s="7"/>
      <c r="E86" s="7">
        <f t="shared" si="7"/>
        <v>0</v>
      </c>
      <c r="F86" s="7">
        <v>0</v>
      </c>
      <c r="G86" s="7">
        <f t="shared" si="5"/>
        <v>0</v>
      </c>
      <c r="H86" s="48" t="e">
        <f t="shared" si="8"/>
        <v>#DIV/0!</v>
      </c>
      <c r="I86" s="48" t="e">
        <f t="shared" si="9"/>
        <v>#DIV/0!</v>
      </c>
    </row>
    <row r="87" spans="1:9" ht="15" x14ac:dyDescent="0.25">
      <c r="A87" s="20" t="s">
        <v>411</v>
      </c>
      <c r="B87" s="6" t="s">
        <v>412</v>
      </c>
      <c r="C87" s="7">
        <v>7088</v>
      </c>
      <c r="D87" s="7"/>
      <c r="E87" s="7">
        <f t="shared" si="7"/>
        <v>7088</v>
      </c>
      <c r="F87" s="43">
        <v>200</v>
      </c>
      <c r="G87" s="7">
        <f t="shared" si="5"/>
        <v>-6888</v>
      </c>
      <c r="H87" s="48">
        <f t="shared" si="8"/>
        <v>2.8216704288939052E-2</v>
      </c>
      <c r="I87" s="48" t="e">
        <f t="shared" si="9"/>
        <v>#DIV/0!</v>
      </c>
    </row>
    <row r="88" spans="1:9" ht="15" x14ac:dyDescent="0.25">
      <c r="A88" s="20" t="s">
        <v>413</v>
      </c>
      <c r="B88" s="6" t="s">
        <v>414</v>
      </c>
      <c r="C88" s="7">
        <v>2000</v>
      </c>
      <c r="D88" s="7"/>
      <c r="E88" s="7">
        <f t="shared" si="7"/>
        <v>2000</v>
      </c>
      <c r="F88" s="43">
        <v>0</v>
      </c>
      <c r="G88" s="7">
        <f t="shared" si="5"/>
        <v>-2000</v>
      </c>
      <c r="H88" s="48">
        <f t="shared" si="8"/>
        <v>0</v>
      </c>
      <c r="I88" s="48" t="e">
        <f t="shared" si="9"/>
        <v>#DIV/0!</v>
      </c>
    </row>
    <row r="89" spans="1:9" s="4" customFormat="1" ht="15" x14ac:dyDescent="0.25">
      <c r="A89" s="20" t="s">
        <v>415</v>
      </c>
      <c r="B89" s="6" t="s">
        <v>416</v>
      </c>
      <c r="C89" s="7">
        <v>121208</v>
      </c>
      <c r="D89" s="7"/>
      <c r="E89" s="7">
        <f t="shared" si="7"/>
        <v>121208</v>
      </c>
      <c r="F89" s="43">
        <v>122625</v>
      </c>
      <c r="G89" s="7">
        <f t="shared" si="5"/>
        <v>1417</v>
      </c>
      <c r="H89" s="48">
        <f t="shared" si="8"/>
        <v>1.0116906474820144</v>
      </c>
      <c r="I89" s="48" t="e">
        <f t="shared" si="9"/>
        <v>#DIV/0!</v>
      </c>
    </row>
    <row r="90" spans="1:9" s="4" customFormat="1" ht="15" x14ac:dyDescent="0.25">
      <c r="A90" s="20" t="s">
        <v>417</v>
      </c>
      <c r="B90" s="6" t="s">
        <v>418</v>
      </c>
      <c r="C90" s="7">
        <v>3265</v>
      </c>
      <c r="D90" s="7">
        <v>0</v>
      </c>
      <c r="E90" s="7">
        <f t="shared" si="7"/>
        <v>3265</v>
      </c>
      <c r="F90" s="7">
        <v>3357</v>
      </c>
      <c r="G90" s="7">
        <f t="shared" si="5"/>
        <v>92</v>
      </c>
      <c r="H90" s="48">
        <f t="shared" si="8"/>
        <v>1.028177641653905</v>
      </c>
      <c r="I90" s="48" t="e">
        <f t="shared" si="9"/>
        <v>#DIV/0!</v>
      </c>
    </row>
    <row r="91" spans="1:9" s="4" customFormat="1" ht="15" x14ac:dyDescent="0.25">
      <c r="A91" s="20" t="s">
        <v>419</v>
      </c>
      <c r="B91" s="6" t="s">
        <v>420</v>
      </c>
      <c r="C91" s="7">
        <v>17407</v>
      </c>
      <c r="D91" s="7"/>
      <c r="E91" s="7">
        <f>C91-D91</f>
        <v>17407</v>
      </c>
      <c r="F91" s="7">
        <v>18449</v>
      </c>
      <c r="G91" s="7">
        <f>F91-C91</f>
        <v>1042</v>
      </c>
      <c r="H91" s="48">
        <f t="shared" si="8"/>
        <v>1.0598609754696386</v>
      </c>
      <c r="I91" s="48" t="e">
        <f t="shared" si="9"/>
        <v>#DIV/0!</v>
      </c>
    </row>
    <row r="92" spans="1:9" s="4" customFormat="1" ht="15" x14ac:dyDescent="0.25">
      <c r="A92" s="20" t="s">
        <v>421</v>
      </c>
      <c r="B92" s="6" t="s">
        <v>422</v>
      </c>
      <c r="C92" s="7">
        <v>7050</v>
      </c>
      <c r="D92" s="7"/>
      <c r="E92" s="7">
        <f t="shared" si="7"/>
        <v>7050</v>
      </c>
      <c r="F92" s="7">
        <v>4327</v>
      </c>
      <c r="G92" s="7">
        <f t="shared" si="5"/>
        <v>-2723</v>
      </c>
      <c r="H92" s="48">
        <f t="shared" si="8"/>
        <v>0.61375886524822698</v>
      </c>
      <c r="I92" s="48" t="e">
        <f t="shared" si="9"/>
        <v>#DIV/0!</v>
      </c>
    </row>
    <row r="93" spans="1:9" s="4" customFormat="1" ht="15" x14ac:dyDescent="0.25">
      <c r="A93" s="20" t="s">
        <v>423</v>
      </c>
      <c r="B93" s="6" t="s">
        <v>424</v>
      </c>
      <c r="C93" s="7">
        <v>625</v>
      </c>
      <c r="D93" s="7"/>
      <c r="E93" s="7">
        <f t="shared" si="7"/>
        <v>625</v>
      </c>
      <c r="F93" s="43">
        <v>858</v>
      </c>
      <c r="G93" s="7">
        <f t="shared" si="5"/>
        <v>233</v>
      </c>
      <c r="H93" s="48">
        <f t="shared" si="8"/>
        <v>1.3728</v>
      </c>
      <c r="I93" s="48" t="e">
        <f t="shared" si="9"/>
        <v>#DIV/0!</v>
      </c>
    </row>
    <row r="94" spans="1:9" s="4" customFormat="1" ht="15" x14ac:dyDescent="0.25">
      <c r="A94" s="20" t="s">
        <v>425</v>
      </c>
      <c r="B94" s="6" t="s">
        <v>426</v>
      </c>
      <c r="C94" s="7">
        <v>11208</v>
      </c>
      <c r="D94" s="7"/>
      <c r="E94" s="7">
        <f t="shared" si="7"/>
        <v>11208</v>
      </c>
      <c r="F94" s="43">
        <v>8345</v>
      </c>
      <c r="G94" s="7">
        <f t="shared" si="5"/>
        <v>-2863</v>
      </c>
      <c r="H94" s="48">
        <f t="shared" si="8"/>
        <v>0.74455745895788727</v>
      </c>
      <c r="I94" s="48" t="e">
        <f t="shared" si="9"/>
        <v>#DIV/0!</v>
      </c>
    </row>
    <row r="95" spans="1:9" s="4" customFormat="1" ht="15" x14ac:dyDescent="0.25">
      <c r="A95" s="20" t="s">
        <v>427</v>
      </c>
      <c r="B95" s="6" t="s">
        <v>428</v>
      </c>
      <c r="C95" s="7">
        <v>7212</v>
      </c>
      <c r="D95" s="7"/>
      <c r="E95" s="7">
        <f t="shared" si="7"/>
        <v>7212</v>
      </c>
      <c r="F95" s="43">
        <v>6639</v>
      </c>
      <c r="G95" s="7">
        <f t="shared" si="5"/>
        <v>-573</v>
      </c>
      <c r="H95" s="48">
        <f t="shared" si="8"/>
        <v>0.92054908485856901</v>
      </c>
      <c r="I95" s="48" t="e">
        <f t="shared" si="9"/>
        <v>#DIV/0!</v>
      </c>
    </row>
    <row r="96" spans="1:9" ht="15" x14ac:dyDescent="0.25">
      <c r="A96" s="26" t="s">
        <v>429</v>
      </c>
      <c r="B96" s="6" t="s">
        <v>430</v>
      </c>
      <c r="C96" s="7">
        <v>13960</v>
      </c>
      <c r="D96" s="7"/>
      <c r="E96" s="7">
        <f t="shared" si="7"/>
        <v>13960</v>
      </c>
      <c r="F96" s="7">
        <v>16383</v>
      </c>
      <c r="G96" s="7">
        <f t="shared" si="5"/>
        <v>2423</v>
      </c>
      <c r="H96" s="48">
        <f t="shared" si="8"/>
        <v>1.1735673352435529</v>
      </c>
      <c r="I96" s="48" t="e">
        <f t="shared" si="9"/>
        <v>#DIV/0!</v>
      </c>
    </row>
    <row r="97" spans="1:10" ht="15" x14ac:dyDescent="0.25">
      <c r="A97" s="26" t="s">
        <v>431</v>
      </c>
      <c r="B97" s="6" t="s">
        <v>432</v>
      </c>
      <c r="C97" s="7">
        <v>0</v>
      </c>
      <c r="D97" s="7"/>
      <c r="E97" s="7">
        <f t="shared" si="7"/>
        <v>0</v>
      </c>
      <c r="F97" s="7">
        <v>0</v>
      </c>
      <c r="G97" s="7">
        <f t="shared" si="5"/>
        <v>0</v>
      </c>
      <c r="H97" s="48" t="e">
        <f t="shared" si="8"/>
        <v>#DIV/0!</v>
      </c>
      <c r="I97" s="48" t="e">
        <f t="shared" si="9"/>
        <v>#DIV/0!</v>
      </c>
    </row>
    <row r="98" spans="1:10" ht="15" x14ac:dyDescent="0.25">
      <c r="A98" s="26" t="s">
        <v>433</v>
      </c>
      <c r="B98" s="6" t="s">
        <v>434</v>
      </c>
      <c r="C98" s="7">
        <v>0</v>
      </c>
      <c r="D98" s="7"/>
      <c r="E98" s="7">
        <f t="shared" si="7"/>
        <v>0</v>
      </c>
      <c r="F98" s="7">
        <v>0</v>
      </c>
      <c r="G98" s="7">
        <f t="shared" si="5"/>
        <v>0</v>
      </c>
      <c r="H98" s="48" t="e">
        <f t="shared" si="8"/>
        <v>#DIV/0!</v>
      </c>
      <c r="I98" s="48" t="e">
        <f t="shared" si="9"/>
        <v>#DIV/0!</v>
      </c>
    </row>
    <row r="99" spans="1:10" s="4" customFormat="1" ht="15" x14ac:dyDescent="0.25">
      <c r="A99" s="26" t="s">
        <v>435</v>
      </c>
      <c r="B99" s="6" t="s">
        <v>436</v>
      </c>
      <c r="C99" s="7">
        <v>0</v>
      </c>
      <c r="D99" s="7"/>
      <c r="E99" s="7">
        <f t="shared" si="7"/>
        <v>0</v>
      </c>
      <c r="F99" s="7">
        <v>0</v>
      </c>
      <c r="G99" s="7">
        <f t="shared" si="5"/>
        <v>0</v>
      </c>
      <c r="H99" s="48" t="e">
        <f t="shared" si="8"/>
        <v>#DIV/0!</v>
      </c>
      <c r="I99" s="48" t="e">
        <f t="shared" si="9"/>
        <v>#DIV/0!</v>
      </c>
    </row>
    <row r="100" spans="1:10" ht="15" x14ac:dyDescent="0.25">
      <c r="A100" s="20" t="s">
        <v>437</v>
      </c>
      <c r="B100" s="6" t="s">
        <v>438</v>
      </c>
      <c r="C100" s="7">
        <v>9636</v>
      </c>
      <c r="D100" s="7"/>
      <c r="E100" s="7">
        <f t="shared" si="7"/>
        <v>9636</v>
      </c>
      <c r="F100" s="7">
        <v>9636</v>
      </c>
      <c r="G100" s="7">
        <f t="shared" si="5"/>
        <v>0</v>
      </c>
      <c r="H100" s="48">
        <f t="shared" si="8"/>
        <v>1</v>
      </c>
      <c r="I100" s="48" t="e">
        <f t="shared" si="9"/>
        <v>#DIV/0!</v>
      </c>
    </row>
    <row r="101" spans="1:10" ht="15" x14ac:dyDescent="0.25">
      <c r="A101" s="20" t="s">
        <v>439</v>
      </c>
      <c r="B101" s="6" t="s">
        <v>440</v>
      </c>
      <c r="C101" s="7">
        <v>0</v>
      </c>
      <c r="D101" s="7"/>
      <c r="E101" s="7">
        <f t="shared" si="7"/>
        <v>0</v>
      </c>
      <c r="F101" s="7">
        <v>0</v>
      </c>
      <c r="G101" s="7">
        <f t="shared" si="5"/>
        <v>0</v>
      </c>
      <c r="H101" s="58" t="e">
        <f t="shared" si="8"/>
        <v>#DIV/0!</v>
      </c>
      <c r="I101" s="58" t="e">
        <f t="shared" si="9"/>
        <v>#DIV/0!</v>
      </c>
    </row>
    <row r="102" spans="1:10" ht="15" x14ac:dyDescent="0.25">
      <c r="A102" s="20" t="s">
        <v>441</v>
      </c>
      <c r="B102" s="6" t="s">
        <v>442</v>
      </c>
      <c r="C102" s="7">
        <v>0</v>
      </c>
      <c r="D102" s="7"/>
      <c r="E102" s="7">
        <f t="shared" si="7"/>
        <v>0</v>
      </c>
      <c r="F102" s="7">
        <v>0</v>
      </c>
      <c r="G102" s="7">
        <f t="shared" si="5"/>
        <v>0</v>
      </c>
      <c r="H102" s="48" t="e">
        <f t="shared" si="8"/>
        <v>#DIV/0!</v>
      </c>
      <c r="I102" s="48" t="e">
        <f t="shared" si="9"/>
        <v>#DIV/0!</v>
      </c>
    </row>
    <row r="103" spans="1:10" ht="15" x14ac:dyDescent="0.25">
      <c r="A103" s="22" t="s">
        <v>443</v>
      </c>
      <c r="B103" s="6" t="s">
        <v>444</v>
      </c>
      <c r="C103" s="7">
        <v>11890</v>
      </c>
      <c r="D103" s="7"/>
      <c r="E103" s="7">
        <f t="shared" si="7"/>
        <v>11890</v>
      </c>
      <c r="F103" s="7">
        <v>12000</v>
      </c>
      <c r="G103" s="7">
        <f t="shared" si="5"/>
        <v>110</v>
      </c>
      <c r="H103" s="48">
        <f t="shared" si="8"/>
        <v>1.0092514718250631</v>
      </c>
      <c r="I103" s="48" t="e">
        <f t="shared" si="9"/>
        <v>#DIV/0!</v>
      </c>
    </row>
    <row r="104" spans="1:10" s="4" customFormat="1" ht="15" x14ac:dyDescent="0.25">
      <c r="A104" s="22" t="s">
        <v>445</v>
      </c>
      <c r="B104" s="6" t="s">
        <v>291</v>
      </c>
      <c r="C104" s="7">
        <v>260790</v>
      </c>
      <c r="D104" s="7"/>
      <c r="E104" s="7">
        <f t="shared" si="7"/>
        <v>260790</v>
      </c>
      <c r="F104" s="7">
        <v>476852</v>
      </c>
      <c r="G104" s="7">
        <f t="shared" si="5"/>
        <v>216062</v>
      </c>
      <c r="H104" s="48">
        <f t="shared" si="8"/>
        <v>1.8284903562253154</v>
      </c>
      <c r="I104" s="48" t="e">
        <f t="shared" si="9"/>
        <v>#DIV/0!</v>
      </c>
    </row>
    <row r="105" spans="1:10" ht="15" x14ac:dyDescent="0.25">
      <c r="A105" s="22" t="s">
        <v>446</v>
      </c>
      <c r="B105" s="6" t="s">
        <v>447</v>
      </c>
      <c r="C105" s="7">
        <v>384600</v>
      </c>
      <c r="D105" s="7"/>
      <c r="E105" s="7">
        <f t="shared" si="7"/>
        <v>384600</v>
      </c>
      <c r="F105" s="43">
        <v>392440</v>
      </c>
      <c r="G105" s="7">
        <f t="shared" si="5"/>
        <v>7840</v>
      </c>
      <c r="H105" s="48">
        <f t="shared" si="8"/>
        <v>1.0203848153926156</v>
      </c>
      <c r="I105" s="48" t="e">
        <f t="shared" si="9"/>
        <v>#DIV/0!</v>
      </c>
    </row>
    <row r="106" spans="1:10" ht="15" x14ac:dyDescent="0.25">
      <c r="A106" s="21" t="s">
        <v>448</v>
      </c>
      <c r="B106" s="6" t="s">
        <v>449</v>
      </c>
      <c r="C106" s="7">
        <v>1243024</v>
      </c>
      <c r="D106" s="7"/>
      <c r="E106" s="7">
        <f t="shared" si="7"/>
        <v>1243024</v>
      </c>
      <c r="F106" s="7">
        <v>1387800</v>
      </c>
      <c r="G106" s="7">
        <f t="shared" si="5"/>
        <v>144776</v>
      </c>
      <c r="H106" s="48">
        <f t="shared" si="8"/>
        <v>1.1164708002419905</v>
      </c>
      <c r="I106" s="48" t="e">
        <f t="shared" si="9"/>
        <v>#DIV/0!</v>
      </c>
    </row>
    <row r="107" spans="1:10" ht="15" x14ac:dyDescent="0.25">
      <c r="A107" s="21" t="s">
        <v>450</v>
      </c>
      <c r="B107" s="6" t="s">
        <v>451</v>
      </c>
      <c r="C107" s="7">
        <v>352697</v>
      </c>
      <c r="D107" s="7"/>
      <c r="E107" s="7">
        <f>C107-D107</f>
        <v>352697</v>
      </c>
      <c r="F107" s="7">
        <v>406376</v>
      </c>
      <c r="G107" s="7">
        <f>F107-C107</f>
        <v>53679</v>
      </c>
      <c r="H107" s="48">
        <f t="shared" si="8"/>
        <v>1.1521957941235679</v>
      </c>
      <c r="I107" s="48" t="e">
        <f t="shared" si="9"/>
        <v>#DIV/0!</v>
      </c>
      <c r="J107" s="2"/>
    </row>
    <row r="108" spans="1:10" ht="15" x14ac:dyDescent="0.25">
      <c r="A108" s="6"/>
      <c r="B108" s="6"/>
      <c r="C108" s="7"/>
      <c r="D108" s="7"/>
      <c r="E108" s="7"/>
      <c r="F108" s="7"/>
      <c r="G108" s="7"/>
      <c r="H108" s="48"/>
      <c r="I108" s="48"/>
    </row>
    <row r="109" spans="1:10" ht="16.8" x14ac:dyDescent="0.4">
      <c r="A109" s="10" t="s">
        <v>162</v>
      </c>
      <c r="B109" s="6"/>
      <c r="C109" s="12">
        <f>SUM(C27:C107)</f>
        <v>4252630</v>
      </c>
      <c r="D109" s="12">
        <f>SUM(D27:D107)</f>
        <v>0</v>
      </c>
      <c r="E109" s="12">
        <f>SUM(E27:E107)</f>
        <v>4252630</v>
      </c>
      <c r="F109" s="12">
        <f>SUM(F27:F107)</f>
        <v>4921323</v>
      </c>
      <c r="G109" s="12">
        <f>SUM(G27:G107)</f>
        <v>668693</v>
      </c>
      <c r="H109" s="48">
        <f t="shared" si="8"/>
        <v>1.157242224223598</v>
      </c>
      <c r="I109" s="48" t="e">
        <f t="shared" si="9"/>
        <v>#DIV/0!</v>
      </c>
    </row>
    <row r="110" spans="1:10" ht="15" x14ac:dyDescent="0.25">
      <c r="A110" s="6"/>
      <c r="B110" s="6"/>
      <c r="C110" s="7"/>
      <c r="D110" s="7"/>
      <c r="E110" s="7"/>
      <c r="F110" s="7"/>
      <c r="G110" s="7"/>
      <c r="H110" s="48"/>
      <c r="I110" s="48"/>
    </row>
    <row r="111" spans="1:10" ht="16.8" x14ac:dyDescent="0.4">
      <c r="A111" s="6" t="s">
        <v>166</v>
      </c>
      <c r="B111" s="6"/>
      <c r="C111" s="13">
        <f>SUM(C23+C109)</f>
        <v>1483034</v>
      </c>
      <c r="D111" s="13">
        <f>SUM(D23+D109)</f>
        <v>0</v>
      </c>
      <c r="E111" s="13">
        <f>SUM(E23+E109)</f>
        <v>1483034</v>
      </c>
      <c r="F111" s="13">
        <f>SUM(F23+F109)</f>
        <v>1892925</v>
      </c>
      <c r="G111" s="13">
        <f>SUM(G23+G109)</f>
        <v>409891</v>
      </c>
      <c r="H111" s="48">
        <f t="shared" si="8"/>
        <v>1.2763867854681685</v>
      </c>
      <c r="I111" s="48" t="e">
        <f t="shared" si="9"/>
        <v>#DIV/0!</v>
      </c>
    </row>
    <row r="118" spans="7:7" ht="15" x14ac:dyDescent="0.4">
      <c r="G118" s="3"/>
    </row>
  </sheetData>
  <phoneticPr fontId="1" type="noConversion"/>
  <conditionalFormatting sqref="A7:A19 A22:A103">
    <cfRule type="expression" dxfId="68" priority="473" stopIfTrue="1">
      <formula>AND(COUNTIF($A$1:$A$392, A7)&gt;1,NOT(ISBLANK(A7)))</formula>
    </cfRule>
  </conditionalFormatting>
  <conditionalFormatting sqref="A20:A21">
    <cfRule type="expression" dxfId="67" priority="476" stopIfTrue="1">
      <formula>AND(COUNTIF($A$1:$A$383, A20)&gt;1,NOT(ISBLANK(A20)))</formula>
    </cfRule>
  </conditionalFormatting>
  <conditionalFormatting sqref="A104:A105">
    <cfRule type="expression" dxfId="66" priority="133" stopIfTrue="1">
      <formula>AND(COUNTIF($A$1:$A$391, A104)&gt;1,NOT(ISBLANK(A104)))</formula>
    </cfRule>
  </conditionalFormatting>
  <conditionalFormatting sqref="A106:A107">
    <cfRule type="expression" dxfId="65" priority="131" stopIfTrue="1">
      <formula>AND(COUNTIF($A$1:$A$384, A106)&gt;1,NOT(ISBLANK(A106)))</formula>
    </cfRule>
  </conditionalFormatting>
  <pageMargins left="0.74803149606299213" right="0.74803149606299213" top="0.98425196850393704" bottom="0.98425196850393704" header="0.51181102362204722" footer="0.51181102362204722"/>
  <pageSetup scale="65" orientation="portrait" r:id="rId1"/>
  <headerFooter alignWithMargins="0"/>
  <ignoredErrors>
    <ignoredError sqref="I37 H19 H21:I21 H31 H40 H41:I41 I99 H101:I102 I105" evalError="1"/>
    <ignoredError sqref="C23:G2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I28"/>
  <sheetViews>
    <sheetView zoomScaleNormal="100" workbookViewId="0">
      <pane ySplit="3" topLeftCell="A8" activePane="bottomLeft" state="frozen"/>
      <selection activeCell="F52" sqref="F52"/>
      <selection pane="bottomLeft" activeCell="L26" sqref="L26"/>
    </sheetView>
  </sheetViews>
  <sheetFormatPr defaultRowHeight="13.2" x14ac:dyDescent="0.25"/>
  <cols>
    <col min="1" max="1" width="22.5546875" customWidth="1"/>
    <col min="2" max="2" width="30.44140625" customWidth="1"/>
    <col min="3" max="3" width="13.6640625" style="2" customWidth="1"/>
    <col min="4" max="4" width="19.6640625" style="2" customWidth="1"/>
    <col min="5" max="5" width="11.5546875" style="2" customWidth="1"/>
    <col min="6" max="6" width="13.6640625" style="30" customWidth="1"/>
    <col min="7" max="7" width="16.44140625" style="2" customWidth="1"/>
    <col min="8" max="8" width="11.6640625" style="47" bestFit="1" customWidth="1"/>
    <col min="9" max="9" width="15.5546875" style="47" customWidth="1"/>
  </cols>
  <sheetData>
    <row r="1" spans="1:9" ht="15.6" x14ac:dyDescent="0.3">
      <c r="A1" s="289" t="s">
        <v>13</v>
      </c>
      <c r="B1" s="289"/>
      <c r="C1" s="289"/>
      <c r="D1" s="289"/>
      <c r="E1" s="289"/>
      <c r="F1" s="289"/>
      <c r="G1" s="289"/>
      <c r="H1" s="50"/>
      <c r="I1" s="46"/>
    </row>
    <row r="2" spans="1:9" ht="15.6" x14ac:dyDescent="0.3">
      <c r="A2" s="41" t="str">
        <f>'Bldg ByLaw Accts'!A2</f>
        <v>2026 Draft Budget</v>
      </c>
      <c r="B2" s="6"/>
      <c r="C2" s="7"/>
      <c r="D2" s="7"/>
      <c r="E2" s="7"/>
      <c r="F2" s="19"/>
      <c r="G2" s="7"/>
      <c r="H2" s="46"/>
      <c r="I2" s="46"/>
    </row>
    <row r="3" spans="1:9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9" ht="15.6" x14ac:dyDescent="0.3">
      <c r="A4" s="6"/>
      <c r="B4" s="6"/>
      <c r="C4" s="7"/>
      <c r="D4" s="7"/>
      <c r="E4" s="7"/>
      <c r="F4" s="19"/>
      <c r="G4" s="7"/>
      <c r="H4" s="46"/>
      <c r="I4" s="46"/>
    </row>
    <row r="5" spans="1:9" ht="15.6" x14ac:dyDescent="0.3">
      <c r="A5" s="10" t="s">
        <v>22</v>
      </c>
      <c r="B5" s="6"/>
      <c r="C5" s="7"/>
      <c r="D5" s="7"/>
      <c r="E5" s="7"/>
      <c r="F5" s="19"/>
      <c r="G5" s="7"/>
      <c r="H5" s="46"/>
      <c r="I5" s="46"/>
    </row>
    <row r="6" spans="1:9" ht="15.6" x14ac:dyDescent="0.3">
      <c r="A6" s="6"/>
      <c r="B6" s="6"/>
      <c r="C6" s="7"/>
      <c r="D6" s="7"/>
      <c r="E6" s="7"/>
      <c r="F6" s="19"/>
      <c r="G6" s="7"/>
      <c r="H6" s="46"/>
      <c r="I6" s="46"/>
    </row>
    <row r="7" spans="1:9" ht="15" x14ac:dyDescent="0.25">
      <c r="A7" s="10" t="s">
        <v>452</v>
      </c>
      <c r="B7" s="6" t="s">
        <v>453</v>
      </c>
      <c r="C7" s="7">
        <v>0</v>
      </c>
      <c r="D7" s="7"/>
      <c r="E7" s="7">
        <f>C7-D7</f>
        <v>0</v>
      </c>
      <c r="F7" s="7"/>
      <c r="G7" s="7">
        <f>F7-C7</f>
        <v>0</v>
      </c>
      <c r="H7" s="48" t="e">
        <f>F7/C7</f>
        <v>#DIV/0!</v>
      </c>
      <c r="I7" s="48" t="e">
        <f>F7/D7</f>
        <v>#DIV/0!</v>
      </c>
    </row>
    <row r="8" spans="1:9" ht="15" x14ac:dyDescent="0.25">
      <c r="A8" s="10" t="s">
        <v>454</v>
      </c>
      <c r="B8" s="6" t="s">
        <v>171</v>
      </c>
      <c r="C8" s="7">
        <v>0</v>
      </c>
      <c r="D8" s="7"/>
      <c r="E8" s="7">
        <f>C8-D8</f>
        <v>0</v>
      </c>
      <c r="F8" s="7"/>
      <c r="G8" s="7">
        <f>F8-C8</f>
        <v>0</v>
      </c>
      <c r="H8" s="48" t="e">
        <f>F8/C8</f>
        <v>#DIV/0!</v>
      </c>
      <c r="I8" s="48" t="e">
        <f>F8/D8</f>
        <v>#DIV/0!</v>
      </c>
    </row>
    <row r="9" spans="1:9" ht="15" x14ac:dyDescent="0.25">
      <c r="A9" s="22" t="s">
        <v>455</v>
      </c>
      <c r="B9" s="6" t="s">
        <v>456</v>
      </c>
      <c r="C9" s="7">
        <v>-29682</v>
      </c>
      <c r="D9" s="7"/>
      <c r="E9" s="7">
        <f>C9-D9</f>
        <v>-29682</v>
      </c>
      <c r="F9" s="7">
        <v>-36843</v>
      </c>
      <c r="G9" s="7">
        <f>F9-C9</f>
        <v>-7161</v>
      </c>
      <c r="H9" s="48">
        <f>F9/C9</f>
        <v>1.2412573276733374</v>
      </c>
      <c r="I9" s="48" t="e">
        <f>F9/D9</f>
        <v>#DIV/0!</v>
      </c>
    </row>
    <row r="10" spans="1:9" ht="15" x14ac:dyDescent="0.25">
      <c r="A10" s="22" t="s">
        <v>457</v>
      </c>
      <c r="B10" s="6" t="s">
        <v>458</v>
      </c>
      <c r="C10" s="7">
        <v>-175000</v>
      </c>
      <c r="D10" s="7"/>
      <c r="E10" s="7">
        <f>C10-D10</f>
        <v>-175000</v>
      </c>
      <c r="F10" s="7">
        <v>-200000</v>
      </c>
      <c r="G10" s="7">
        <f>F10-C10</f>
        <v>-25000</v>
      </c>
      <c r="H10" s="48">
        <f>F10/C10</f>
        <v>1.1428571428571428</v>
      </c>
      <c r="I10" s="48" t="e">
        <f>F10/D10</f>
        <v>#DIV/0!</v>
      </c>
    </row>
    <row r="11" spans="1:9" ht="15" x14ac:dyDescent="0.25">
      <c r="A11" s="6"/>
      <c r="B11" s="6"/>
      <c r="C11" s="7"/>
      <c r="D11" s="7"/>
      <c r="E11" s="7"/>
      <c r="F11" s="7"/>
      <c r="G11" s="7"/>
      <c r="H11" s="48"/>
      <c r="I11" s="48"/>
    </row>
    <row r="12" spans="1:9" ht="15" x14ac:dyDescent="0.25">
      <c r="A12" s="10" t="s">
        <v>49</v>
      </c>
      <c r="B12" s="6"/>
      <c r="C12" s="7">
        <f>SUM(C7:C11)</f>
        <v>-204682</v>
      </c>
      <c r="D12" s="7">
        <f>SUM(D7:D11)</f>
        <v>0</v>
      </c>
      <c r="E12" s="7">
        <f>SUM(E7:E11)</f>
        <v>-204682</v>
      </c>
      <c r="F12" s="7">
        <f>SUM(F7:F11)</f>
        <v>-236843</v>
      </c>
      <c r="G12" s="7">
        <f>SUM(G7:G11)</f>
        <v>-32161</v>
      </c>
      <c r="H12" s="48">
        <f>F12/C12</f>
        <v>1.1571266647775573</v>
      </c>
      <c r="I12" s="48" t="e">
        <f>F12/D12</f>
        <v>#DIV/0!</v>
      </c>
    </row>
    <row r="13" spans="1:9" ht="15" x14ac:dyDescent="0.25">
      <c r="A13" s="6"/>
      <c r="B13" s="6"/>
      <c r="C13" s="7"/>
      <c r="D13" s="7"/>
      <c r="E13" s="7"/>
      <c r="F13" s="7"/>
      <c r="G13" s="7"/>
      <c r="H13" s="48"/>
      <c r="I13" s="48"/>
    </row>
    <row r="14" spans="1:9" ht="15" x14ac:dyDescent="0.25">
      <c r="A14" s="10" t="s">
        <v>50</v>
      </c>
      <c r="B14" s="6"/>
      <c r="C14" s="7"/>
      <c r="D14" s="7"/>
      <c r="E14" s="7"/>
      <c r="F14" s="7"/>
      <c r="G14" s="7"/>
      <c r="H14" s="48"/>
      <c r="I14" s="48"/>
    </row>
    <row r="15" spans="1:9" ht="15" x14ac:dyDescent="0.25">
      <c r="A15" s="6"/>
      <c r="B15" s="6"/>
      <c r="C15" s="7"/>
      <c r="D15" s="7"/>
      <c r="E15" s="7"/>
      <c r="F15" s="7"/>
      <c r="G15" s="7"/>
      <c r="H15" s="48"/>
      <c r="I15" s="48"/>
    </row>
    <row r="16" spans="1:9" ht="15" x14ac:dyDescent="0.25">
      <c r="A16" s="26" t="s">
        <v>459</v>
      </c>
      <c r="B16" s="6" t="s">
        <v>366</v>
      </c>
      <c r="C16" s="7">
        <v>3000</v>
      </c>
      <c r="D16" s="7"/>
      <c r="E16" s="7">
        <f t="shared" ref="E16:E22" si="0">C16-D16</f>
        <v>3000</v>
      </c>
      <c r="F16" s="7">
        <v>2500</v>
      </c>
      <c r="G16" s="7">
        <f t="shared" ref="G16:G24" si="1">F16-C16</f>
        <v>-500</v>
      </c>
      <c r="H16" s="48">
        <f t="shared" ref="H16:H22" si="2">F16/C16</f>
        <v>0.83333333333333337</v>
      </c>
      <c r="I16" s="48" t="e">
        <f t="shared" ref="I16:I22" si="3">F16/D16</f>
        <v>#DIV/0!</v>
      </c>
    </row>
    <row r="17" spans="1:9" ht="15" x14ac:dyDescent="0.25">
      <c r="A17" s="26" t="s">
        <v>460</v>
      </c>
      <c r="B17" s="6" t="s">
        <v>368</v>
      </c>
      <c r="C17" s="7">
        <v>8500</v>
      </c>
      <c r="D17" s="7"/>
      <c r="E17" s="7">
        <f t="shared" si="0"/>
        <v>8500</v>
      </c>
      <c r="F17" s="7">
        <v>8100</v>
      </c>
      <c r="G17" s="7">
        <f t="shared" si="1"/>
        <v>-400</v>
      </c>
      <c r="H17" s="48">
        <f t="shared" si="2"/>
        <v>0.95294117647058818</v>
      </c>
      <c r="I17" s="48" t="e">
        <f t="shared" si="3"/>
        <v>#DIV/0!</v>
      </c>
    </row>
    <row r="18" spans="1:9" ht="15" x14ac:dyDescent="0.25">
      <c r="A18" s="26" t="s">
        <v>461</v>
      </c>
      <c r="B18" s="6" t="s">
        <v>87</v>
      </c>
      <c r="C18" s="7">
        <v>2368</v>
      </c>
      <c r="D18" s="7"/>
      <c r="E18" s="7">
        <f t="shared" si="0"/>
        <v>2368</v>
      </c>
      <c r="F18" s="7">
        <v>2487</v>
      </c>
      <c r="G18" s="7">
        <f t="shared" si="1"/>
        <v>119</v>
      </c>
      <c r="H18" s="48">
        <f t="shared" si="2"/>
        <v>1.0502533783783783</v>
      </c>
      <c r="I18" s="48" t="e">
        <f t="shared" si="3"/>
        <v>#DIV/0!</v>
      </c>
    </row>
    <row r="19" spans="1:9" ht="15" x14ac:dyDescent="0.25">
      <c r="A19" s="26" t="s">
        <v>462</v>
      </c>
      <c r="B19" s="6" t="s">
        <v>242</v>
      </c>
      <c r="C19" s="7">
        <v>4440</v>
      </c>
      <c r="D19" s="7"/>
      <c r="E19" s="7">
        <f t="shared" si="0"/>
        <v>4440</v>
      </c>
      <c r="F19" s="7">
        <v>4390</v>
      </c>
      <c r="G19" s="7">
        <f t="shared" si="1"/>
        <v>-50</v>
      </c>
      <c r="H19" s="48">
        <f t="shared" si="2"/>
        <v>0.98873873873873874</v>
      </c>
      <c r="I19" s="48" t="e">
        <f t="shared" si="3"/>
        <v>#DIV/0!</v>
      </c>
    </row>
    <row r="20" spans="1:9" ht="15" x14ac:dyDescent="0.25">
      <c r="A20" s="26" t="s">
        <v>463</v>
      </c>
      <c r="B20" s="6" t="s">
        <v>383</v>
      </c>
      <c r="C20" s="7">
        <v>0</v>
      </c>
      <c r="D20" s="7"/>
      <c r="E20" s="7">
        <f t="shared" si="0"/>
        <v>0</v>
      </c>
      <c r="F20" s="7">
        <v>0</v>
      </c>
      <c r="G20" s="7">
        <f t="shared" si="1"/>
        <v>0</v>
      </c>
      <c r="H20" s="58" t="e">
        <f t="shared" si="2"/>
        <v>#DIV/0!</v>
      </c>
      <c r="I20" s="58" t="e">
        <f t="shared" si="3"/>
        <v>#DIV/0!</v>
      </c>
    </row>
    <row r="21" spans="1:9" ht="15" x14ac:dyDescent="0.25">
      <c r="A21" s="26" t="s">
        <v>464</v>
      </c>
      <c r="B21" s="6" t="s">
        <v>465</v>
      </c>
      <c r="C21" s="7">
        <v>2370</v>
      </c>
      <c r="D21" s="7"/>
      <c r="E21" s="7">
        <f t="shared" si="0"/>
        <v>2370</v>
      </c>
      <c r="F21" s="7">
        <v>2370</v>
      </c>
      <c r="G21" s="7">
        <f t="shared" si="1"/>
        <v>0</v>
      </c>
      <c r="H21" s="48">
        <f t="shared" si="2"/>
        <v>1</v>
      </c>
      <c r="I21" s="48" t="e">
        <f t="shared" si="3"/>
        <v>#DIV/0!</v>
      </c>
    </row>
    <row r="22" spans="1:9" ht="15" x14ac:dyDescent="0.25">
      <c r="A22" s="26" t="s">
        <v>466</v>
      </c>
      <c r="B22" s="6" t="s">
        <v>467</v>
      </c>
      <c r="C22" s="7">
        <v>14800</v>
      </c>
      <c r="D22" s="7"/>
      <c r="E22" s="7">
        <f t="shared" si="0"/>
        <v>14800</v>
      </c>
      <c r="F22" s="7">
        <v>15504</v>
      </c>
      <c r="G22" s="7">
        <f t="shared" si="1"/>
        <v>704</v>
      </c>
      <c r="H22" s="48">
        <f t="shared" si="2"/>
        <v>1.0475675675675675</v>
      </c>
      <c r="I22" s="48" t="e">
        <f t="shared" si="3"/>
        <v>#DIV/0!</v>
      </c>
    </row>
    <row r="23" spans="1:9" ht="15" x14ac:dyDescent="0.25">
      <c r="C23" s="30"/>
      <c r="F23" s="7"/>
      <c r="G23" s="7"/>
    </row>
    <row r="24" spans="1:9" ht="15" x14ac:dyDescent="0.25">
      <c r="A24" s="21" t="s">
        <v>468</v>
      </c>
      <c r="B24" s="6" t="s">
        <v>469</v>
      </c>
      <c r="C24" s="7">
        <v>175000</v>
      </c>
      <c r="D24" s="7"/>
      <c r="E24" s="7">
        <f>C24-D24</f>
        <v>175000</v>
      </c>
      <c r="F24" s="43">
        <v>206200</v>
      </c>
      <c r="G24" s="7">
        <f t="shared" si="1"/>
        <v>31200</v>
      </c>
      <c r="H24" s="48">
        <f>F24/C24</f>
        <v>1.1782857142857144</v>
      </c>
      <c r="I24" s="48" t="e">
        <f>F24/D24</f>
        <v>#DIV/0!</v>
      </c>
    </row>
    <row r="25" spans="1:9" ht="15" x14ac:dyDescent="0.25">
      <c r="A25" s="6"/>
      <c r="B25" s="6"/>
      <c r="C25" s="7"/>
      <c r="D25" s="7"/>
      <c r="E25" s="7"/>
      <c r="F25" s="7"/>
      <c r="G25" s="7"/>
      <c r="H25" s="48"/>
      <c r="I25" s="48"/>
    </row>
    <row r="26" spans="1:9" ht="16.8" x14ac:dyDescent="0.4">
      <c r="A26" s="10" t="s">
        <v>162</v>
      </c>
      <c r="B26" s="6"/>
      <c r="C26" s="12">
        <f>SUM(C16:C25)</f>
        <v>210478</v>
      </c>
      <c r="D26" s="12">
        <f>SUM(D16:D25)</f>
        <v>0</v>
      </c>
      <c r="E26" s="12">
        <f>SUM(E16:E25)</f>
        <v>210478</v>
      </c>
      <c r="F26" s="12">
        <f>SUM(F16:F25)</f>
        <v>241551</v>
      </c>
      <c r="G26" s="12">
        <f>SUM(G16:G25)</f>
        <v>31073</v>
      </c>
      <c r="H26" s="48">
        <f>F26/C26</f>
        <v>1.1476306312298672</v>
      </c>
      <c r="I26" s="48" t="e">
        <f>F26/D26</f>
        <v>#DIV/0!</v>
      </c>
    </row>
    <row r="27" spans="1:9" ht="15" x14ac:dyDescent="0.25">
      <c r="A27" s="6"/>
      <c r="B27" s="6"/>
      <c r="C27" s="7"/>
      <c r="D27" s="7"/>
      <c r="E27" s="7"/>
      <c r="F27" s="7"/>
      <c r="G27" s="7"/>
      <c r="H27" s="48"/>
      <c r="I27" s="48"/>
    </row>
    <row r="28" spans="1:9" ht="16.8" x14ac:dyDescent="0.4">
      <c r="A28" s="10" t="s">
        <v>166</v>
      </c>
      <c r="B28" s="6"/>
      <c r="C28" s="13">
        <f>SUM(C12+C26)</f>
        <v>5796</v>
      </c>
      <c r="D28" s="13">
        <f>SUM(D12+D26)</f>
        <v>0</v>
      </c>
      <c r="E28" s="13">
        <f>SUM(E12+E26)</f>
        <v>5796</v>
      </c>
      <c r="F28" s="13">
        <f>SUM(F12+F26)</f>
        <v>4708</v>
      </c>
      <c r="G28" s="13">
        <f>SUM(G12+G26)</f>
        <v>-1088</v>
      </c>
      <c r="H28" s="48">
        <f>F28/C28</f>
        <v>0.81228433402346445</v>
      </c>
      <c r="I28" s="48" t="e">
        <f>F28/D28</f>
        <v>#DIV/0!</v>
      </c>
    </row>
  </sheetData>
  <mergeCells count="1">
    <mergeCell ref="A1:G1"/>
  </mergeCells>
  <phoneticPr fontId="1" type="noConversion"/>
  <conditionalFormatting sqref="A9:A10 A16:A22">
    <cfRule type="expression" dxfId="64" priority="3" stopIfTrue="1">
      <formula>AND(COUNTIF($A$1:$A$346, A9)&gt;1,NOT(ISBLANK(A9)))</formula>
    </cfRule>
  </conditionalFormatting>
  <conditionalFormatting sqref="A24">
    <cfRule type="expression" dxfId="63" priority="2" stopIfTrue="1">
      <formula>AND(COUNTIF($A$1:$A$345, A24)&gt;1,NOT(ISBLANK(A24)))</formula>
    </cfRule>
  </conditionalFormatting>
  <pageMargins left="0.75" right="0.75" top="1" bottom="1" header="0.5" footer="0.5"/>
  <pageSetup scale="7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L71"/>
  <sheetViews>
    <sheetView zoomScaleNormal="100" workbookViewId="0">
      <pane ySplit="3" topLeftCell="A46" activePane="bottomLeft" state="frozen"/>
      <selection activeCell="F52" sqref="F52"/>
      <selection pane="bottomLeft" activeCell="F54" sqref="F54"/>
    </sheetView>
  </sheetViews>
  <sheetFormatPr defaultRowHeight="13.2" x14ac:dyDescent="0.25"/>
  <cols>
    <col min="1" max="1" width="24.5546875" customWidth="1"/>
    <col min="2" max="2" width="34.6640625" customWidth="1"/>
    <col min="3" max="3" width="13.6640625" style="2" customWidth="1"/>
    <col min="4" max="4" width="16.44140625" style="2" customWidth="1"/>
    <col min="5" max="5" width="14.33203125" style="2" customWidth="1"/>
    <col min="6" max="6" width="13.6640625" style="2" customWidth="1"/>
    <col min="7" max="7" width="16.44140625" style="2" customWidth="1"/>
    <col min="8" max="8" width="12.5546875" style="47" customWidth="1"/>
    <col min="9" max="9" width="15.44140625" style="47" customWidth="1"/>
  </cols>
  <sheetData>
    <row r="1" spans="1:9" ht="15.6" x14ac:dyDescent="0.3">
      <c r="A1" s="289" t="s">
        <v>14</v>
      </c>
      <c r="B1" s="289"/>
      <c r="C1" s="289"/>
      <c r="D1" s="289"/>
      <c r="E1" s="289"/>
      <c r="F1" s="289"/>
      <c r="G1" s="289"/>
      <c r="H1" s="46"/>
      <c r="I1" s="46"/>
    </row>
    <row r="2" spans="1:9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9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9" ht="15" x14ac:dyDescent="0.25">
      <c r="A4" s="10" t="s">
        <v>22</v>
      </c>
      <c r="B4" s="6"/>
      <c r="C4" s="7"/>
      <c r="D4" s="7"/>
      <c r="E4" s="7"/>
      <c r="F4" s="7"/>
      <c r="G4" s="7"/>
      <c r="H4" s="46"/>
      <c r="I4" s="46"/>
    </row>
    <row r="5" spans="1:9" ht="15" x14ac:dyDescent="0.25">
      <c r="A5" s="6"/>
      <c r="B5" s="6"/>
      <c r="C5" s="7"/>
      <c r="D5" s="7"/>
      <c r="E5" s="7"/>
      <c r="F5" s="7"/>
      <c r="G5" s="7"/>
      <c r="H5" s="46"/>
      <c r="I5" s="46"/>
    </row>
    <row r="6" spans="1:9" ht="15" x14ac:dyDescent="0.25">
      <c r="A6" s="22" t="s">
        <v>470</v>
      </c>
      <c r="B6" s="6" t="s">
        <v>471</v>
      </c>
      <c r="C6" s="7">
        <v>-17300</v>
      </c>
      <c r="D6" s="7"/>
      <c r="E6" s="7">
        <f>C6-D6</f>
        <v>-17300</v>
      </c>
      <c r="F6" s="7">
        <v>-17300</v>
      </c>
      <c r="G6" s="7">
        <f>F6-C6</f>
        <v>0</v>
      </c>
      <c r="H6" s="48">
        <f t="shared" ref="H6:H55" si="0">F6/C6</f>
        <v>1</v>
      </c>
      <c r="I6" s="48" t="e">
        <f t="shared" ref="I6:I55" si="1">F6/D6</f>
        <v>#DIV/0!</v>
      </c>
    </row>
    <row r="7" spans="1:9" ht="15" x14ac:dyDescent="0.25">
      <c r="A7" s="22" t="s">
        <v>472</v>
      </c>
      <c r="B7" s="6" t="s">
        <v>473</v>
      </c>
      <c r="C7" s="7">
        <v>-300</v>
      </c>
      <c r="D7" s="7"/>
      <c r="E7" s="7">
        <f t="shared" ref="E7:E16" si="2">C7-D7</f>
        <v>-300</v>
      </c>
      <c r="F7" s="7">
        <v>-300</v>
      </c>
      <c r="G7" s="7">
        <f t="shared" ref="G7:G16" si="3">F7-C7</f>
        <v>0</v>
      </c>
      <c r="H7" s="58">
        <f t="shared" si="0"/>
        <v>1</v>
      </c>
      <c r="I7" s="58" t="e">
        <f t="shared" si="1"/>
        <v>#DIV/0!</v>
      </c>
    </row>
    <row r="8" spans="1:9" ht="15" x14ac:dyDescent="0.25">
      <c r="A8" s="22" t="s">
        <v>474</v>
      </c>
      <c r="B8" s="6" t="s">
        <v>475</v>
      </c>
      <c r="C8" s="7">
        <v>-200</v>
      </c>
      <c r="D8" s="7"/>
      <c r="E8" s="7">
        <f t="shared" si="2"/>
        <v>-200</v>
      </c>
      <c r="F8" s="7">
        <v>-180</v>
      </c>
      <c r="G8" s="7">
        <f t="shared" si="3"/>
        <v>20</v>
      </c>
      <c r="H8" s="48">
        <f t="shared" si="0"/>
        <v>0.9</v>
      </c>
      <c r="I8" s="48" t="e">
        <f t="shared" si="1"/>
        <v>#DIV/0!</v>
      </c>
    </row>
    <row r="9" spans="1:9" ht="15" x14ac:dyDescent="0.25">
      <c r="A9" s="22" t="s">
        <v>476</v>
      </c>
      <c r="B9" s="6" t="s">
        <v>477</v>
      </c>
      <c r="C9" s="7">
        <v>-15000</v>
      </c>
      <c r="D9" s="7"/>
      <c r="E9" s="7">
        <f t="shared" si="2"/>
        <v>-15000</v>
      </c>
      <c r="F9" s="7">
        <v>-15000</v>
      </c>
      <c r="G9" s="7">
        <f t="shared" si="3"/>
        <v>0</v>
      </c>
      <c r="H9" s="48">
        <f t="shared" si="0"/>
        <v>1</v>
      </c>
      <c r="I9" s="48" t="e">
        <f t="shared" si="1"/>
        <v>#DIV/0!</v>
      </c>
    </row>
    <row r="10" spans="1:9" ht="15" x14ac:dyDescent="0.25">
      <c r="A10" s="22" t="s">
        <v>478</v>
      </c>
      <c r="B10" s="6" t="s">
        <v>479</v>
      </c>
      <c r="C10" s="7">
        <v>-4000</v>
      </c>
      <c r="D10" s="7"/>
      <c r="E10" s="7">
        <f t="shared" si="2"/>
        <v>-4000</v>
      </c>
      <c r="F10" s="7">
        <v>-4100</v>
      </c>
      <c r="G10" s="7">
        <f t="shared" si="3"/>
        <v>-100</v>
      </c>
      <c r="H10" s="48">
        <f t="shared" si="0"/>
        <v>1.0249999999999999</v>
      </c>
      <c r="I10" s="48" t="e">
        <f t="shared" si="1"/>
        <v>#DIV/0!</v>
      </c>
    </row>
    <row r="11" spans="1:9" ht="15" x14ac:dyDescent="0.25">
      <c r="A11" s="22" t="s">
        <v>480</v>
      </c>
      <c r="B11" s="6" t="s">
        <v>481</v>
      </c>
      <c r="C11" s="7">
        <v>0</v>
      </c>
      <c r="D11" s="7"/>
      <c r="E11" s="7">
        <f t="shared" si="2"/>
        <v>0</v>
      </c>
      <c r="F11" s="7">
        <v>0</v>
      </c>
      <c r="G11" s="7">
        <f t="shared" si="3"/>
        <v>0</v>
      </c>
      <c r="H11" s="48" t="e">
        <f t="shared" si="0"/>
        <v>#DIV/0!</v>
      </c>
      <c r="I11" s="48" t="e">
        <f t="shared" si="1"/>
        <v>#DIV/0!</v>
      </c>
    </row>
    <row r="12" spans="1:9" ht="15" x14ac:dyDescent="0.25">
      <c r="A12" s="22" t="s">
        <v>482</v>
      </c>
      <c r="B12" s="6" t="s">
        <v>483</v>
      </c>
      <c r="C12" s="7">
        <v>0</v>
      </c>
      <c r="D12" s="7"/>
      <c r="E12" s="7">
        <f t="shared" si="2"/>
        <v>0</v>
      </c>
      <c r="F12" s="7">
        <v>0</v>
      </c>
      <c r="G12" s="7">
        <f t="shared" si="3"/>
        <v>0</v>
      </c>
      <c r="H12" s="48" t="e">
        <f t="shared" si="0"/>
        <v>#DIV/0!</v>
      </c>
      <c r="I12" s="48" t="e">
        <f t="shared" si="1"/>
        <v>#DIV/0!</v>
      </c>
    </row>
    <row r="13" spans="1:9" ht="15" x14ac:dyDescent="0.25">
      <c r="A13" s="22" t="s">
        <v>484</v>
      </c>
      <c r="B13" s="6" t="s">
        <v>485</v>
      </c>
      <c r="C13" s="7">
        <v>-7000</v>
      </c>
      <c r="D13" s="7"/>
      <c r="E13" s="7">
        <f t="shared" si="2"/>
        <v>-7000</v>
      </c>
      <c r="F13" s="7">
        <v>-7500</v>
      </c>
      <c r="G13" s="7">
        <f t="shared" si="3"/>
        <v>-500</v>
      </c>
      <c r="H13" s="58">
        <f t="shared" si="0"/>
        <v>1.0714285714285714</v>
      </c>
      <c r="I13" s="58" t="e">
        <f t="shared" si="1"/>
        <v>#DIV/0!</v>
      </c>
    </row>
    <row r="14" spans="1:9" ht="15" x14ac:dyDescent="0.25">
      <c r="A14" s="22" t="s">
        <v>486</v>
      </c>
      <c r="B14" s="6" t="s">
        <v>205</v>
      </c>
      <c r="C14" s="7">
        <v>-2000</v>
      </c>
      <c r="D14" s="7"/>
      <c r="E14" s="7">
        <f t="shared" si="2"/>
        <v>-2000</v>
      </c>
      <c r="F14" s="7">
        <v>-2200</v>
      </c>
      <c r="G14" s="7">
        <f t="shared" si="3"/>
        <v>-200</v>
      </c>
      <c r="H14" s="48">
        <f t="shared" si="0"/>
        <v>1.1000000000000001</v>
      </c>
      <c r="I14" s="48" t="e">
        <f t="shared" si="1"/>
        <v>#DIV/0!</v>
      </c>
    </row>
    <row r="15" spans="1:9" ht="15" x14ac:dyDescent="0.25">
      <c r="A15" s="22" t="s">
        <v>487</v>
      </c>
      <c r="B15" s="6" t="s">
        <v>488</v>
      </c>
      <c r="C15" s="7">
        <v>-4200</v>
      </c>
      <c r="D15" s="7"/>
      <c r="E15" s="7">
        <f t="shared" si="2"/>
        <v>-4200</v>
      </c>
      <c r="F15" s="7">
        <v>-4300</v>
      </c>
      <c r="G15" s="7">
        <f t="shared" si="3"/>
        <v>-100</v>
      </c>
      <c r="H15" s="48">
        <f t="shared" si="0"/>
        <v>1.0238095238095237</v>
      </c>
      <c r="I15" s="48" t="e">
        <f t="shared" si="1"/>
        <v>#DIV/0!</v>
      </c>
    </row>
    <row r="16" spans="1:9" ht="15" x14ac:dyDescent="0.25">
      <c r="A16" s="21" t="s">
        <v>489</v>
      </c>
      <c r="B16" s="6" t="s">
        <v>320</v>
      </c>
      <c r="C16" s="7"/>
      <c r="D16" s="7"/>
      <c r="E16" s="7">
        <f t="shared" si="2"/>
        <v>0</v>
      </c>
      <c r="F16" s="7"/>
      <c r="G16" s="7">
        <f t="shared" si="3"/>
        <v>0</v>
      </c>
      <c r="H16" s="58" t="e">
        <f t="shared" si="0"/>
        <v>#DIV/0!</v>
      </c>
      <c r="I16" s="58" t="e">
        <f t="shared" si="1"/>
        <v>#DIV/0!</v>
      </c>
    </row>
    <row r="17" spans="1:12" ht="15" x14ac:dyDescent="0.25">
      <c r="A17" s="6"/>
      <c r="B17" s="6"/>
      <c r="C17" s="7"/>
      <c r="D17" s="7"/>
      <c r="E17" s="7"/>
      <c r="F17" s="7"/>
      <c r="G17" s="7"/>
      <c r="H17" s="48"/>
      <c r="I17" s="48"/>
    </row>
    <row r="18" spans="1:12" ht="15" x14ac:dyDescent="0.25">
      <c r="A18" s="22" t="s">
        <v>49</v>
      </c>
      <c r="B18" s="6"/>
      <c r="C18" s="7">
        <f>SUM(C6:C17)</f>
        <v>-50000</v>
      </c>
      <c r="D18" s="7">
        <f>SUM(D6:D17)</f>
        <v>0</v>
      </c>
      <c r="E18" s="7">
        <f>SUM(E6:E17)</f>
        <v>-50000</v>
      </c>
      <c r="F18" s="7">
        <f>SUM(F6:F17)</f>
        <v>-50880</v>
      </c>
      <c r="G18" s="7">
        <f>SUM(G6:G17)</f>
        <v>-880</v>
      </c>
      <c r="H18" s="48">
        <f t="shared" si="0"/>
        <v>1.0176000000000001</v>
      </c>
      <c r="I18" s="48" t="e">
        <f t="shared" si="1"/>
        <v>#DIV/0!</v>
      </c>
    </row>
    <row r="19" spans="1:12" ht="15" x14ac:dyDescent="0.25">
      <c r="A19" s="6"/>
      <c r="B19" s="6"/>
      <c r="C19" s="7"/>
      <c r="D19" s="7"/>
      <c r="E19" s="7"/>
      <c r="F19" s="7"/>
      <c r="G19" s="7"/>
      <c r="H19" s="48"/>
      <c r="I19" s="48"/>
    </row>
    <row r="20" spans="1:12" ht="15" x14ac:dyDescent="0.25">
      <c r="A20" s="22" t="s">
        <v>50</v>
      </c>
      <c r="B20" s="6"/>
      <c r="C20" s="7"/>
      <c r="D20" s="7"/>
      <c r="E20" s="7"/>
      <c r="F20" s="7"/>
      <c r="G20" s="7"/>
      <c r="H20" s="48"/>
      <c r="I20" s="48"/>
    </row>
    <row r="21" spans="1:12" ht="15" x14ac:dyDescent="0.25">
      <c r="A21" s="6"/>
      <c r="B21" s="6"/>
      <c r="C21" s="7"/>
      <c r="D21" s="7"/>
      <c r="E21" s="7"/>
      <c r="F21" s="7"/>
      <c r="G21" s="7"/>
      <c r="H21" s="48"/>
      <c r="I21" s="48"/>
    </row>
    <row r="22" spans="1:12" ht="15" x14ac:dyDescent="0.25">
      <c r="A22" s="10" t="s">
        <v>490</v>
      </c>
      <c r="B22" s="6" t="s">
        <v>210</v>
      </c>
      <c r="C22" s="7">
        <v>137759</v>
      </c>
      <c r="D22" s="7"/>
      <c r="E22" s="7">
        <f t="shared" ref="E22:E67" si="4">C22-D22</f>
        <v>137759</v>
      </c>
      <c r="F22" s="7">
        <v>142895</v>
      </c>
      <c r="G22" s="7">
        <f t="shared" ref="G22:G67" si="5">F22-C22</f>
        <v>5136</v>
      </c>
      <c r="H22" s="48">
        <f t="shared" si="0"/>
        <v>1.0372825005988719</v>
      </c>
      <c r="I22" s="48" t="e">
        <f t="shared" si="1"/>
        <v>#DIV/0!</v>
      </c>
      <c r="J22">
        <v>142895</v>
      </c>
      <c r="K22">
        <v>141892</v>
      </c>
      <c r="L22">
        <f>J22-K22</f>
        <v>1003</v>
      </c>
    </row>
    <row r="23" spans="1:12" ht="15" x14ac:dyDescent="0.25">
      <c r="A23" s="28" t="s">
        <v>491</v>
      </c>
      <c r="B23" s="6" t="s">
        <v>55</v>
      </c>
      <c r="C23" s="7">
        <v>59254</v>
      </c>
      <c r="D23" s="7"/>
      <c r="E23" s="7">
        <f t="shared" si="4"/>
        <v>59254</v>
      </c>
      <c r="F23" s="7">
        <v>61109</v>
      </c>
      <c r="G23" s="7">
        <f t="shared" si="5"/>
        <v>1855</v>
      </c>
      <c r="H23" s="48">
        <f t="shared" si="0"/>
        <v>1.0313059033989267</v>
      </c>
      <c r="I23" s="48" t="e">
        <f t="shared" si="1"/>
        <v>#DIV/0!</v>
      </c>
      <c r="J23">
        <v>61109</v>
      </c>
      <c r="K23">
        <v>61032</v>
      </c>
      <c r="L23">
        <f t="shared" ref="L23:L29" si="6">J23-K23</f>
        <v>77</v>
      </c>
    </row>
    <row r="24" spans="1:12" ht="15" x14ac:dyDescent="0.25">
      <c r="A24" s="26" t="s">
        <v>492</v>
      </c>
      <c r="B24" s="6" t="s">
        <v>493</v>
      </c>
      <c r="C24" s="7">
        <v>0</v>
      </c>
      <c r="D24" s="7"/>
      <c r="E24" s="7">
        <f t="shared" si="4"/>
        <v>0</v>
      </c>
      <c r="G24" s="7">
        <f t="shared" si="5"/>
        <v>0</v>
      </c>
      <c r="H24" s="58" t="e">
        <f t="shared" ref="H24:H29" si="7">F25/C24</f>
        <v>#DIV/0!</v>
      </c>
      <c r="I24" s="58" t="e">
        <f>F25/D24</f>
        <v>#DIV/0!</v>
      </c>
      <c r="L24">
        <f t="shared" si="6"/>
        <v>0</v>
      </c>
    </row>
    <row r="25" spans="1:12" ht="15" x14ac:dyDescent="0.25">
      <c r="A25" s="28" t="s">
        <v>494</v>
      </c>
      <c r="B25" s="6" t="s">
        <v>495</v>
      </c>
      <c r="C25" s="7">
        <v>14272</v>
      </c>
      <c r="D25" s="7"/>
      <c r="E25" s="7">
        <f t="shared" si="4"/>
        <v>14272</v>
      </c>
      <c r="F25" s="7">
        <v>11836</v>
      </c>
      <c r="G25" s="7">
        <f t="shared" si="5"/>
        <v>-2436</v>
      </c>
      <c r="H25" s="48">
        <f t="shared" si="7"/>
        <v>0.11028587443946189</v>
      </c>
      <c r="I25" s="48" t="e">
        <f>F26/D25</f>
        <v>#DIV/0!</v>
      </c>
      <c r="J25">
        <v>11836</v>
      </c>
      <c r="K25">
        <v>14272</v>
      </c>
      <c r="L25">
        <f t="shared" si="6"/>
        <v>-2436</v>
      </c>
    </row>
    <row r="26" spans="1:12" ht="15" x14ac:dyDescent="0.25">
      <c r="A26" s="28" t="s">
        <v>496</v>
      </c>
      <c r="B26" s="6" t="s">
        <v>497</v>
      </c>
      <c r="C26" s="7">
        <v>1927</v>
      </c>
      <c r="D26" s="7"/>
      <c r="E26" s="7">
        <f t="shared" si="4"/>
        <v>1927</v>
      </c>
      <c r="F26" s="7">
        <v>1574</v>
      </c>
      <c r="G26" s="7">
        <f t="shared" si="5"/>
        <v>-353</v>
      </c>
      <c r="H26" s="48">
        <f t="shared" si="7"/>
        <v>0.32537623248572911</v>
      </c>
      <c r="I26" s="48" t="e">
        <f>F27/D26</f>
        <v>#DIV/0!</v>
      </c>
      <c r="J26">
        <v>1574</v>
      </c>
      <c r="K26">
        <v>1927</v>
      </c>
      <c r="L26">
        <f t="shared" si="6"/>
        <v>-353</v>
      </c>
    </row>
    <row r="27" spans="1:12" ht="15" x14ac:dyDescent="0.25">
      <c r="A27" s="28" t="s">
        <v>498</v>
      </c>
      <c r="B27" s="6" t="s">
        <v>499</v>
      </c>
      <c r="C27" s="7">
        <v>767</v>
      </c>
      <c r="D27" s="7"/>
      <c r="E27" s="7">
        <f t="shared" si="4"/>
        <v>767</v>
      </c>
      <c r="F27" s="7">
        <v>627</v>
      </c>
      <c r="G27" s="7">
        <f t="shared" si="5"/>
        <v>-140</v>
      </c>
      <c r="H27" s="48">
        <f t="shared" si="7"/>
        <v>18.607561929595828</v>
      </c>
      <c r="I27" s="48" t="e">
        <f>F28/D27</f>
        <v>#DIV/0!</v>
      </c>
      <c r="J27">
        <v>627</v>
      </c>
      <c r="K27">
        <v>767</v>
      </c>
      <c r="L27">
        <f t="shared" si="6"/>
        <v>-140</v>
      </c>
    </row>
    <row r="28" spans="1:12" ht="15" x14ac:dyDescent="0.25">
      <c r="A28" s="28" t="s">
        <v>500</v>
      </c>
      <c r="B28" s="6" t="s">
        <v>501</v>
      </c>
      <c r="C28" s="7">
        <v>17017</v>
      </c>
      <c r="D28" s="7"/>
      <c r="E28" s="7">
        <f t="shared" si="4"/>
        <v>17017</v>
      </c>
      <c r="F28" s="7">
        <v>14272</v>
      </c>
      <c r="G28" s="7">
        <f t="shared" si="5"/>
        <v>-2745</v>
      </c>
      <c r="H28" s="48">
        <f t="shared" si="7"/>
        <v>1.2269495210671681</v>
      </c>
      <c r="I28" s="48" t="e">
        <f>F29/D28</f>
        <v>#DIV/0!</v>
      </c>
      <c r="J28">
        <v>14272</v>
      </c>
      <c r="K28">
        <v>17017</v>
      </c>
      <c r="L28">
        <f t="shared" si="6"/>
        <v>-2745</v>
      </c>
    </row>
    <row r="29" spans="1:12" ht="15" x14ac:dyDescent="0.25">
      <c r="A29" s="21" t="s">
        <v>502</v>
      </c>
      <c r="B29" s="6" t="s">
        <v>503</v>
      </c>
      <c r="C29" s="7">
        <v>23767</v>
      </c>
      <c r="D29" s="7"/>
      <c r="E29" s="7">
        <f t="shared" si="4"/>
        <v>23767</v>
      </c>
      <c r="F29" s="7">
        <v>20879</v>
      </c>
      <c r="G29" s="7">
        <f t="shared" si="5"/>
        <v>-2888</v>
      </c>
      <c r="H29" s="48">
        <f t="shared" si="7"/>
        <v>2.1037573105566542E-2</v>
      </c>
      <c r="I29" s="48" t="e">
        <f>#REF!/D29</f>
        <v>#REF!</v>
      </c>
      <c r="J29">
        <v>20879</v>
      </c>
      <c r="K29">
        <v>23767</v>
      </c>
      <c r="L29">
        <f t="shared" si="6"/>
        <v>-2888</v>
      </c>
    </row>
    <row r="30" spans="1:12" ht="15" x14ac:dyDescent="0.25">
      <c r="A30" s="28" t="s">
        <v>504</v>
      </c>
      <c r="B30" s="6" t="s">
        <v>505</v>
      </c>
      <c r="C30" s="7">
        <v>500</v>
      </c>
      <c r="D30" s="7"/>
      <c r="E30" s="7">
        <f t="shared" si="4"/>
        <v>500</v>
      </c>
      <c r="F30" s="7">
        <v>500</v>
      </c>
      <c r="G30" s="7">
        <f t="shared" si="5"/>
        <v>0</v>
      </c>
      <c r="H30" s="48">
        <f t="shared" si="0"/>
        <v>1</v>
      </c>
      <c r="I30" s="48" t="e">
        <f t="shared" si="1"/>
        <v>#DIV/0!</v>
      </c>
      <c r="L30">
        <f>SUM(L22:L29)</f>
        <v>-7482</v>
      </c>
    </row>
    <row r="31" spans="1:12" ht="15" x14ac:dyDescent="0.25">
      <c r="A31" s="21" t="s">
        <v>506</v>
      </c>
      <c r="B31" s="6" t="s">
        <v>229</v>
      </c>
      <c r="C31" s="7">
        <v>2425</v>
      </c>
      <c r="D31" s="7"/>
      <c r="E31" s="7">
        <f t="shared" si="4"/>
        <v>2425</v>
      </c>
      <c r="F31" s="7">
        <v>2250</v>
      </c>
      <c r="G31" s="7">
        <f t="shared" si="5"/>
        <v>-175</v>
      </c>
      <c r="H31" s="48">
        <f t="shared" si="0"/>
        <v>0.92783505154639179</v>
      </c>
      <c r="I31" s="48" t="e">
        <f t="shared" si="1"/>
        <v>#DIV/0!</v>
      </c>
    </row>
    <row r="32" spans="1:12" ht="15" x14ac:dyDescent="0.25">
      <c r="A32" s="28" t="s">
        <v>507</v>
      </c>
      <c r="B32" s="6" t="s">
        <v>81</v>
      </c>
      <c r="C32" s="7">
        <v>375</v>
      </c>
      <c r="D32" s="7"/>
      <c r="E32" s="7">
        <f t="shared" si="4"/>
        <v>375</v>
      </c>
      <c r="F32" s="7">
        <v>375</v>
      </c>
      <c r="G32" s="7">
        <f t="shared" si="5"/>
        <v>0</v>
      </c>
      <c r="H32" s="48">
        <f t="shared" si="0"/>
        <v>1</v>
      </c>
      <c r="I32" s="48" t="e">
        <f t="shared" si="1"/>
        <v>#DIV/0!</v>
      </c>
    </row>
    <row r="33" spans="1:9" ht="15" x14ac:dyDescent="0.25">
      <c r="A33" s="21" t="s">
        <v>508</v>
      </c>
      <c r="B33" s="6" t="s">
        <v>509</v>
      </c>
      <c r="C33" s="7">
        <v>3500</v>
      </c>
      <c r="D33" s="7"/>
      <c r="E33" s="7">
        <f t="shared" si="4"/>
        <v>3500</v>
      </c>
      <c r="F33" s="7">
        <v>2500</v>
      </c>
      <c r="G33" s="7">
        <f t="shared" si="5"/>
        <v>-1000</v>
      </c>
      <c r="H33" s="48">
        <f t="shared" si="0"/>
        <v>0.7142857142857143</v>
      </c>
      <c r="I33" s="48" t="e">
        <f t="shared" si="1"/>
        <v>#DIV/0!</v>
      </c>
    </row>
    <row r="34" spans="1:9" ht="15" x14ac:dyDescent="0.25">
      <c r="A34" s="28" t="s">
        <v>510</v>
      </c>
      <c r="B34" s="6" t="s">
        <v>511</v>
      </c>
      <c r="C34" s="7">
        <v>7000</v>
      </c>
      <c r="D34" s="7"/>
      <c r="E34" s="7">
        <f t="shared" si="4"/>
        <v>7000</v>
      </c>
      <c r="F34" s="7">
        <v>8000</v>
      </c>
      <c r="G34" s="7">
        <f t="shared" si="5"/>
        <v>1000</v>
      </c>
      <c r="H34" s="48">
        <f t="shared" si="0"/>
        <v>1.1428571428571428</v>
      </c>
      <c r="I34" s="48" t="e">
        <f t="shared" si="1"/>
        <v>#DIV/0!</v>
      </c>
    </row>
    <row r="35" spans="1:9" ht="15" x14ac:dyDescent="0.25">
      <c r="A35" s="21" t="s">
        <v>512</v>
      </c>
      <c r="B35" s="6" t="s">
        <v>513</v>
      </c>
      <c r="C35" s="7">
        <v>2000</v>
      </c>
      <c r="D35" s="7"/>
      <c r="E35" s="7">
        <f t="shared" si="4"/>
        <v>2000</v>
      </c>
      <c r="F35" s="7">
        <v>2900</v>
      </c>
      <c r="G35" s="7">
        <f t="shared" si="5"/>
        <v>900</v>
      </c>
      <c r="H35" s="48">
        <f t="shared" si="0"/>
        <v>1.45</v>
      </c>
      <c r="I35" s="48" t="e">
        <f t="shared" si="1"/>
        <v>#DIV/0!</v>
      </c>
    </row>
    <row r="36" spans="1:9" ht="15" x14ac:dyDescent="0.25">
      <c r="A36" s="26" t="s">
        <v>514</v>
      </c>
      <c r="B36" s="6" t="s">
        <v>515</v>
      </c>
      <c r="C36" s="7">
        <v>500</v>
      </c>
      <c r="D36" s="7"/>
      <c r="E36" s="7">
        <f t="shared" si="4"/>
        <v>500</v>
      </c>
      <c r="F36" s="7">
        <v>500</v>
      </c>
      <c r="G36" s="7">
        <f t="shared" si="5"/>
        <v>0</v>
      </c>
      <c r="H36" s="48">
        <f t="shared" si="0"/>
        <v>1</v>
      </c>
      <c r="I36" s="48" t="e">
        <f t="shared" si="1"/>
        <v>#DIV/0!</v>
      </c>
    </row>
    <row r="37" spans="1:9" ht="15" x14ac:dyDescent="0.25">
      <c r="A37" s="28" t="s">
        <v>516</v>
      </c>
      <c r="B37" s="6" t="s">
        <v>517</v>
      </c>
      <c r="C37" s="7">
        <v>2900</v>
      </c>
      <c r="D37" s="7"/>
      <c r="E37" s="7">
        <f t="shared" si="4"/>
        <v>2900</v>
      </c>
      <c r="F37" s="7">
        <v>1665</v>
      </c>
      <c r="G37" s="7">
        <f t="shared" si="5"/>
        <v>-1235</v>
      </c>
      <c r="H37" s="48">
        <f t="shared" si="0"/>
        <v>0.57413793103448274</v>
      </c>
      <c r="I37" s="48" t="e">
        <f t="shared" si="1"/>
        <v>#DIV/0!</v>
      </c>
    </row>
    <row r="38" spans="1:9" ht="15" x14ac:dyDescent="0.25">
      <c r="A38" s="21" t="s">
        <v>518</v>
      </c>
      <c r="B38" s="6" t="s">
        <v>85</v>
      </c>
      <c r="C38" s="7">
        <v>5500</v>
      </c>
      <c r="D38" s="7"/>
      <c r="E38" s="7">
        <f t="shared" si="4"/>
        <v>5500</v>
      </c>
      <c r="F38" s="7">
        <v>6150</v>
      </c>
      <c r="G38" s="7">
        <f t="shared" si="5"/>
        <v>650</v>
      </c>
      <c r="H38" s="48">
        <f t="shared" si="0"/>
        <v>1.1181818181818182</v>
      </c>
      <c r="I38" s="48" t="e">
        <f t="shared" si="1"/>
        <v>#DIV/0!</v>
      </c>
    </row>
    <row r="39" spans="1:9" ht="15" x14ac:dyDescent="0.25">
      <c r="A39" s="28" t="s">
        <v>519</v>
      </c>
      <c r="B39" s="6" t="s">
        <v>87</v>
      </c>
      <c r="C39" s="7">
        <v>3600</v>
      </c>
      <c r="D39" s="7"/>
      <c r="E39" s="7">
        <f t="shared" si="4"/>
        <v>3600</v>
      </c>
      <c r="F39" s="7">
        <v>3780</v>
      </c>
      <c r="G39" s="7">
        <f t="shared" si="5"/>
        <v>180</v>
      </c>
      <c r="H39" s="48">
        <f t="shared" si="0"/>
        <v>1.05</v>
      </c>
      <c r="I39" s="48" t="e">
        <f t="shared" si="1"/>
        <v>#DIV/0!</v>
      </c>
    </row>
    <row r="40" spans="1:9" ht="15" x14ac:dyDescent="0.25">
      <c r="A40" s="26" t="s">
        <v>520</v>
      </c>
      <c r="B40" s="6" t="s">
        <v>521</v>
      </c>
      <c r="C40" s="7">
        <v>2800</v>
      </c>
      <c r="D40" s="7"/>
      <c r="E40" s="7">
        <f t="shared" si="4"/>
        <v>2800</v>
      </c>
      <c r="F40" s="7">
        <v>3017</v>
      </c>
      <c r="G40" s="7">
        <f t="shared" si="5"/>
        <v>217</v>
      </c>
      <c r="H40" s="48">
        <f t="shared" si="0"/>
        <v>1.0774999999999999</v>
      </c>
      <c r="I40" s="48" t="e">
        <f t="shared" si="1"/>
        <v>#DIV/0!</v>
      </c>
    </row>
    <row r="41" spans="1:9" ht="15" x14ac:dyDescent="0.25">
      <c r="A41" s="26" t="s">
        <v>522</v>
      </c>
      <c r="B41" s="6" t="s">
        <v>375</v>
      </c>
      <c r="C41" s="7">
        <v>2000</v>
      </c>
      <c r="D41" s="7"/>
      <c r="E41" s="7">
        <f t="shared" si="4"/>
        <v>2000</v>
      </c>
      <c r="F41" s="7">
        <v>2500</v>
      </c>
      <c r="G41" s="7">
        <f t="shared" si="5"/>
        <v>500</v>
      </c>
      <c r="H41" s="48">
        <f t="shared" si="0"/>
        <v>1.25</v>
      </c>
      <c r="I41" s="48" t="e">
        <f t="shared" si="1"/>
        <v>#DIV/0!</v>
      </c>
    </row>
    <row r="42" spans="1:9" ht="15" x14ac:dyDescent="0.25">
      <c r="A42" s="21" t="s">
        <v>523</v>
      </c>
      <c r="B42" s="6" t="s">
        <v>239</v>
      </c>
      <c r="C42" s="7">
        <v>0</v>
      </c>
      <c r="D42" s="7"/>
      <c r="E42" s="7">
        <f t="shared" si="4"/>
        <v>0</v>
      </c>
      <c r="F42" s="7">
        <v>0</v>
      </c>
      <c r="G42" s="7">
        <f t="shared" si="5"/>
        <v>0</v>
      </c>
      <c r="H42" s="58" t="e">
        <f t="shared" si="0"/>
        <v>#DIV/0!</v>
      </c>
      <c r="I42" s="58" t="e">
        <f t="shared" si="1"/>
        <v>#DIV/0!</v>
      </c>
    </row>
    <row r="43" spans="1:9" ht="15" x14ac:dyDescent="0.25">
      <c r="A43" s="28" t="s">
        <v>524</v>
      </c>
      <c r="B43" s="6" t="s">
        <v>95</v>
      </c>
      <c r="C43" s="7">
        <v>3000</v>
      </c>
      <c r="D43" s="7"/>
      <c r="E43" s="7">
        <f t="shared" si="4"/>
        <v>3000</v>
      </c>
      <c r="F43" s="7">
        <v>3000</v>
      </c>
      <c r="G43" s="7">
        <f t="shared" si="5"/>
        <v>0</v>
      </c>
      <c r="H43" s="48">
        <f t="shared" si="0"/>
        <v>1</v>
      </c>
      <c r="I43" s="48" t="e">
        <f t="shared" si="1"/>
        <v>#DIV/0!</v>
      </c>
    </row>
    <row r="44" spans="1:9" ht="15" x14ac:dyDescent="0.25">
      <c r="A44" s="21" t="s">
        <v>525</v>
      </c>
      <c r="B44" s="6" t="s">
        <v>242</v>
      </c>
      <c r="C44" s="7">
        <v>1000</v>
      </c>
      <c r="D44" s="7"/>
      <c r="E44" s="7">
        <f t="shared" si="4"/>
        <v>1000</v>
      </c>
      <c r="F44" s="7">
        <v>1000</v>
      </c>
      <c r="G44" s="7">
        <f t="shared" si="5"/>
        <v>0</v>
      </c>
      <c r="H44" s="48">
        <f t="shared" si="0"/>
        <v>1</v>
      </c>
      <c r="I44" s="48" t="e">
        <f t="shared" si="1"/>
        <v>#DIV/0!</v>
      </c>
    </row>
    <row r="45" spans="1:9" ht="15" x14ac:dyDescent="0.25">
      <c r="A45" s="26" t="s">
        <v>526</v>
      </c>
      <c r="B45" s="6" t="s">
        <v>527</v>
      </c>
      <c r="C45" s="7">
        <v>1000</v>
      </c>
      <c r="D45" s="7"/>
      <c r="E45" s="7">
        <f t="shared" si="4"/>
        <v>1000</v>
      </c>
      <c r="F45" s="7">
        <v>1000</v>
      </c>
      <c r="G45" s="7">
        <f t="shared" si="5"/>
        <v>0</v>
      </c>
      <c r="H45" s="48">
        <f t="shared" si="0"/>
        <v>1</v>
      </c>
      <c r="I45" s="48" t="e">
        <f t="shared" si="1"/>
        <v>#DIV/0!</v>
      </c>
    </row>
    <row r="46" spans="1:9" ht="15" x14ac:dyDescent="0.25">
      <c r="A46" s="28" t="s">
        <v>528</v>
      </c>
      <c r="B46" s="6" t="s">
        <v>385</v>
      </c>
      <c r="C46" s="7">
        <v>450</v>
      </c>
      <c r="D46" s="7"/>
      <c r="E46" s="7">
        <f t="shared" si="4"/>
        <v>450</v>
      </c>
      <c r="F46" s="7">
        <v>450</v>
      </c>
      <c r="G46" s="7">
        <f t="shared" si="5"/>
        <v>0</v>
      </c>
      <c r="H46" s="48">
        <f t="shared" si="0"/>
        <v>1</v>
      </c>
      <c r="I46" s="48" t="e">
        <f t="shared" si="1"/>
        <v>#DIV/0!</v>
      </c>
    </row>
    <row r="47" spans="1:9" ht="15" x14ac:dyDescent="0.25">
      <c r="A47" s="26" t="s">
        <v>529</v>
      </c>
      <c r="B47" s="6" t="s">
        <v>530</v>
      </c>
      <c r="C47" s="7">
        <v>8500</v>
      </c>
      <c r="D47" s="7"/>
      <c r="E47" s="7">
        <f t="shared" si="4"/>
        <v>8500</v>
      </c>
      <c r="F47" s="7">
        <v>8500</v>
      </c>
      <c r="G47" s="7">
        <f t="shared" si="5"/>
        <v>0</v>
      </c>
      <c r="H47" s="48">
        <f t="shared" si="0"/>
        <v>1</v>
      </c>
      <c r="I47" s="48" t="e">
        <f t="shared" si="1"/>
        <v>#DIV/0!</v>
      </c>
    </row>
    <row r="48" spans="1:9" ht="15" x14ac:dyDescent="0.25">
      <c r="A48" s="26" t="s">
        <v>531</v>
      </c>
      <c r="B48" s="6" t="s">
        <v>532</v>
      </c>
      <c r="C48" s="7">
        <v>800</v>
      </c>
      <c r="D48" s="7"/>
      <c r="E48" s="7">
        <f t="shared" si="4"/>
        <v>800</v>
      </c>
      <c r="F48" s="7">
        <v>800</v>
      </c>
      <c r="G48" s="7">
        <f t="shared" si="5"/>
        <v>0</v>
      </c>
      <c r="H48" s="48">
        <f t="shared" si="0"/>
        <v>1</v>
      </c>
      <c r="I48" s="48" t="e">
        <f t="shared" si="1"/>
        <v>#DIV/0!</v>
      </c>
    </row>
    <row r="49" spans="1:12" ht="15" x14ac:dyDescent="0.25">
      <c r="A49" s="26" t="s">
        <v>533</v>
      </c>
      <c r="B49" s="6" t="s">
        <v>245</v>
      </c>
      <c r="C49" s="7">
        <v>2395</v>
      </c>
      <c r="D49" s="7"/>
      <c r="E49" s="7">
        <f t="shared" si="4"/>
        <v>2395</v>
      </c>
      <c r="F49" s="7">
        <v>3100</v>
      </c>
      <c r="G49" s="7">
        <f t="shared" si="5"/>
        <v>705</v>
      </c>
      <c r="H49" s="48">
        <f t="shared" si="0"/>
        <v>1.2943632567849688</v>
      </c>
      <c r="I49" s="48" t="e">
        <f t="shared" si="1"/>
        <v>#DIV/0!</v>
      </c>
    </row>
    <row r="50" spans="1:12" ht="15" x14ac:dyDescent="0.25">
      <c r="A50" s="26" t="s">
        <v>534</v>
      </c>
      <c r="B50" s="6" t="s">
        <v>535</v>
      </c>
      <c r="C50" s="7">
        <v>14500</v>
      </c>
      <c r="D50" s="7"/>
      <c r="E50" s="7">
        <f t="shared" si="4"/>
        <v>14500</v>
      </c>
      <c r="F50" s="7">
        <v>14500</v>
      </c>
      <c r="G50" s="7">
        <f t="shared" si="5"/>
        <v>0</v>
      </c>
      <c r="H50" s="48">
        <f t="shared" si="0"/>
        <v>1</v>
      </c>
      <c r="I50" s="48" t="e">
        <f t="shared" si="1"/>
        <v>#DIV/0!</v>
      </c>
    </row>
    <row r="51" spans="1:12" ht="15" x14ac:dyDescent="0.25">
      <c r="A51" s="28" t="s">
        <v>536</v>
      </c>
      <c r="B51" s="6" t="s">
        <v>537</v>
      </c>
      <c r="C51" s="7">
        <v>2750</v>
      </c>
      <c r="D51" s="7"/>
      <c r="E51" s="7">
        <f t="shared" si="4"/>
        <v>2750</v>
      </c>
      <c r="F51" s="7">
        <v>2750</v>
      </c>
      <c r="G51" s="7">
        <f t="shared" si="5"/>
        <v>0</v>
      </c>
      <c r="H51" s="48">
        <f t="shared" si="0"/>
        <v>1</v>
      </c>
      <c r="I51" s="48" t="e">
        <f t="shared" si="1"/>
        <v>#DIV/0!</v>
      </c>
    </row>
    <row r="52" spans="1:12" ht="15" x14ac:dyDescent="0.25">
      <c r="A52" s="26" t="s">
        <v>538</v>
      </c>
      <c r="B52" s="6" t="s">
        <v>539</v>
      </c>
      <c r="C52" s="7">
        <v>4400</v>
      </c>
      <c r="D52" s="7"/>
      <c r="E52" s="7">
        <f t="shared" si="4"/>
        <v>4400</v>
      </c>
      <c r="F52" s="7">
        <v>4400</v>
      </c>
      <c r="G52" s="7">
        <f t="shared" si="5"/>
        <v>0</v>
      </c>
      <c r="H52" s="48">
        <f t="shared" si="0"/>
        <v>1</v>
      </c>
      <c r="I52" s="48" t="e">
        <f t="shared" si="1"/>
        <v>#DIV/0!</v>
      </c>
    </row>
    <row r="53" spans="1:12" ht="15" x14ac:dyDescent="0.25">
      <c r="A53" s="28" t="s">
        <v>540</v>
      </c>
      <c r="B53" s="6" t="s">
        <v>541</v>
      </c>
      <c r="C53" s="7">
        <v>5905</v>
      </c>
      <c r="D53" s="7"/>
      <c r="E53" s="7">
        <f t="shared" si="4"/>
        <v>5905</v>
      </c>
      <c r="F53" s="7">
        <v>6145</v>
      </c>
      <c r="G53" s="7">
        <f t="shared" si="5"/>
        <v>240</v>
      </c>
      <c r="H53" s="48">
        <f t="shared" si="0"/>
        <v>1.0406435224386112</v>
      </c>
      <c r="I53" s="48" t="e">
        <f t="shared" si="1"/>
        <v>#DIV/0!</v>
      </c>
    </row>
    <row r="54" spans="1:12" ht="15" x14ac:dyDescent="0.25">
      <c r="A54" s="28" t="s">
        <v>542</v>
      </c>
      <c r="B54" s="6" t="s">
        <v>467</v>
      </c>
      <c r="C54" s="7">
        <v>16000</v>
      </c>
      <c r="D54" s="7"/>
      <c r="E54" s="7">
        <f t="shared" si="4"/>
        <v>16000</v>
      </c>
      <c r="F54" s="7">
        <v>18000</v>
      </c>
      <c r="G54" s="7">
        <f t="shared" si="5"/>
        <v>2000</v>
      </c>
      <c r="H54" s="48">
        <f t="shared" si="0"/>
        <v>1.125</v>
      </c>
      <c r="I54" s="48" t="e">
        <f t="shared" si="1"/>
        <v>#DIV/0!</v>
      </c>
    </row>
    <row r="55" spans="1:12" ht="15" x14ac:dyDescent="0.25">
      <c r="A55" s="21" t="s">
        <v>543</v>
      </c>
      <c r="B55" s="6" t="s">
        <v>135</v>
      </c>
      <c r="C55" s="7">
        <v>0</v>
      </c>
      <c r="D55" s="7"/>
      <c r="E55" s="7">
        <f t="shared" si="4"/>
        <v>0</v>
      </c>
      <c r="F55" s="7">
        <v>0</v>
      </c>
      <c r="G55" s="7">
        <f t="shared" si="5"/>
        <v>0</v>
      </c>
      <c r="H55" s="58" t="e">
        <f t="shared" si="0"/>
        <v>#DIV/0!</v>
      </c>
      <c r="I55" s="58" t="e">
        <f t="shared" si="1"/>
        <v>#DIV/0!</v>
      </c>
    </row>
    <row r="56" spans="1:12" ht="15" x14ac:dyDescent="0.25">
      <c r="A56" s="28" t="s">
        <v>544</v>
      </c>
      <c r="B56" s="6" t="s">
        <v>545</v>
      </c>
      <c r="C56" s="7">
        <v>7300</v>
      </c>
      <c r="D56" s="7"/>
      <c r="E56" s="7">
        <f t="shared" si="4"/>
        <v>7300</v>
      </c>
      <c r="F56" s="7">
        <v>7300</v>
      </c>
      <c r="G56" s="7">
        <f t="shared" si="5"/>
        <v>0</v>
      </c>
      <c r="H56" s="48">
        <f t="shared" ref="H56:H71" si="8">F56/C56</f>
        <v>1</v>
      </c>
      <c r="I56" s="48" t="e">
        <f t="shared" ref="I56:I71" si="9">F56/D56</f>
        <v>#DIV/0!</v>
      </c>
    </row>
    <row r="57" spans="1:12" ht="15" x14ac:dyDescent="0.25">
      <c r="A57" s="28" t="s">
        <v>546</v>
      </c>
      <c r="B57" s="6" t="s">
        <v>547</v>
      </c>
      <c r="C57" s="7">
        <v>3000</v>
      </c>
      <c r="D57" s="7"/>
      <c r="E57" s="7">
        <f t="shared" si="4"/>
        <v>3000</v>
      </c>
      <c r="F57" s="7">
        <v>5400</v>
      </c>
      <c r="G57" s="7">
        <f t="shared" si="5"/>
        <v>2400</v>
      </c>
      <c r="H57" s="48">
        <f t="shared" si="8"/>
        <v>1.8</v>
      </c>
      <c r="I57" s="48" t="e">
        <f t="shared" si="9"/>
        <v>#DIV/0!</v>
      </c>
    </row>
    <row r="58" spans="1:12" ht="15" x14ac:dyDescent="0.25">
      <c r="A58" s="21" t="s">
        <v>548</v>
      </c>
      <c r="B58" s="6" t="s">
        <v>549</v>
      </c>
      <c r="C58" s="7">
        <v>0</v>
      </c>
      <c r="D58" s="7"/>
      <c r="E58" s="7">
        <f t="shared" si="4"/>
        <v>0</v>
      </c>
      <c r="F58" s="7">
        <v>0</v>
      </c>
      <c r="G58" s="7">
        <f t="shared" si="5"/>
        <v>0</v>
      </c>
      <c r="H58" s="58" t="e">
        <f t="shared" si="8"/>
        <v>#DIV/0!</v>
      </c>
      <c r="I58" s="58" t="e">
        <f t="shared" si="9"/>
        <v>#DIV/0!</v>
      </c>
    </row>
    <row r="59" spans="1:12" ht="15" x14ac:dyDescent="0.25">
      <c r="A59" s="28" t="s">
        <v>550</v>
      </c>
      <c r="B59" s="6" t="s">
        <v>117</v>
      </c>
      <c r="C59" s="7">
        <v>950</v>
      </c>
      <c r="D59" s="7"/>
      <c r="E59" s="7">
        <f t="shared" si="4"/>
        <v>950</v>
      </c>
      <c r="F59" s="7">
        <v>950</v>
      </c>
      <c r="G59" s="7">
        <f t="shared" si="5"/>
        <v>0</v>
      </c>
      <c r="H59" s="48">
        <f t="shared" si="8"/>
        <v>1</v>
      </c>
      <c r="I59" s="48" t="e">
        <f t="shared" si="9"/>
        <v>#DIV/0!</v>
      </c>
      <c r="L59">
        <f>329111-321629</f>
        <v>7482</v>
      </c>
    </row>
    <row r="60" spans="1:12" ht="15" x14ac:dyDescent="0.25">
      <c r="A60" s="21" t="s">
        <v>551</v>
      </c>
      <c r="B60" s="6" t="s">
        <v>552</v>
      </c>
      <c r="C60" s="7">
        <v>1500</v>
      </c>
      <c r="D60" s="7"/>
      <c r="E60" s="7">
        <f t="shared" si="4"/>
        <v>1500</v>
      </c>
      <c r="F60" s="7">
        <v>1500</v>
      </c>
      <c r="G60" s="7">
        <f t="shared" si="5"/>
        <v>0</v>
      </c>
      <c r="H60" s="48">
        <f t="shared" si="8"/>
        <v>1</v>
      </c>
      <c r="I60" s="48" t="e">
        <f t="shared" si="9"/>
        <v>#DIV/0!</v>
      </c>
    </row>
    <row r="61" spans="1:12" ht="15" x14ac:dyDescent="0.25">
      <c r="A61" s="26" t="s">
        <v>553</v>
      </c>
      <c r="B61" s="6" t="s">
        <v>554</v>
      </c>
      <c r="C61" s="7">
        <v>3020</v>
      </c>
      <c r="D61" s="7"/>
      <c r="E61" s="7">
        <f t="shared" si="4"/>
        <v>3020</v>
      </c>
      <c r="F61" s="7">
        <v>3020</v>
      </c>
      <c r="G61" s="7">
        <f t="shared" si="5"/>
        <v>0</v>
      </c>
      <c r="H61" s="48">
        <f t="shared" si="8"/>
        <v>1</v>
      </c>
      <c r="I61" s="48" t="e">
        <f t="shared" si="9"/>
        <v>#DIV/0!</v>
      </c>
    </row>
    <row r="62" spans="1:12" ht="15" x14ac:dyDescent="0.25">
      <c r="A62" s="28" t="s">
        <v>555</v>
      </c>
      <c r="B62" s="6" t="s">
        <v>556</v>
      </c>
      <c r="C62" s="7">
        <v>1300</v>
      </c>
      <c r="D62" s="7"/>
      <c r="E62" s="7">
        <f t="shared" si="4"/>
        <v>1300</v>
      </c>
      <c r="F62" s="7">
        <v>1340</v>
      </c>
      <c r="G62" s="7">
        <f t="shared" si="5"/>
        <v>40</v>
      </c>
      <c r="H62" s="48">
        <f t="shared" si="8"/>
        <v>1.0307692307692307</v>
      </c>
      <c r="I62" s="48" t="e">
        <f t="shared" si="9"/>
        <v>#DIV/0!</v>
      </c>
    </row>
    <row r="63" spans="1:12" ht="15" x14ac:dyDescent="0.25">
      <c r="A63" s="28" t="s">
        <v>557</v>
      </c>
      <c r="B63" s="6" t="s">
        <v>558</v>
      </c>
      <c r="C63" s="7">
        <v>525</v>
      </c>
      <c r="D63" s="7"/>
      <c r="E63" s="7">
        <f t="shared" si="4"/>
        <v>525</v>
      </c>
      <c r="F63" s="7">
        <v>525</v>
      </c>
      <c r="G63" s="7">
        <f t="shared" si="5"/>
        <v>0</v>
      </c>
      <c r="H63" s="48">
        <f t="shared" si="8"/>
        <v>1</v>
      </c>
      <c r="I63" s="48" t="e">
        <f t="shared" si="9"/>
        <v>#DIV/0!</v>
      </c>
    </row>
    <row r="64" spans="1:12" ht="15" x14ac:dyDescent="0.25">
      <c r="A64" s="26" t="s">
        <v>559</v>
      </c>
      <c r="B64" s="6" t="s">
        <v>291</v>
      </c>
      <c r="C64" s="7">
        <v>0</v>
      </c>
      <c r="D64" s="7"/>
      <c r="E64" s="7">
        <f t="shared" si="4"/>
        <v>0</v>
      </c>
      <c r="F64" s="7">
        <v>0</v>
      </c>
      <c r="G64" s="7">
        <f t="shared" si="5"/>
        <v>0</v>
      </c>
      <c r="H64" s="58" t="e">
        <f t="shared" si="8"/>
        <v>#DIV/0!</v>
      </c>
      <c r="I64" s="58" t="e">
        <f t="shared" si="9"/>
        <v>#DIV/0!</v>
      </c>
    </row>
    <row r="65" spans="1:9" ht="15" x14ac:dyDescent="0.25">
      <c r="A65" s="26" t="s">
        <v>560</v>
      </c>
      <c r="B65" s="6" t="s">
        <v>447</v>
      </c>
      <c r="C65" s="7">
        <v>0</v>
      </c>
      <c r="D65" s="7"/>
      <c r="E65" s="7">
        <f t="shared" si="4"/>
        <v>0</v>
      </c>
      <c r="F65" s="7">
        <v>0</v>
      </c>
      <c r="G65" s="7">
        <f t="shared" si="5"/>
        <v>0</v>
      </c>
      <c r="H65" s="58" t="e">
        <f t="shared" si="8"/>
        <v>#DIV/0!</v>
      </c>
      <c r="I65" s="58" t="e">
        <f t="shared" si="9"/>
        <v>#DIV/0!</v>
      </c>
    </row>
    <row r="66" spans="1:9" ht="15" x14ac:dyDescent="0.25">
      <c r="A66" s="26" t="s">
        <v>561</v>
      </c>
      <c r="B66" s="6" t="s">
        <v>562</v>
      </c>
      <c r="C66" s="7">
        <v>0</v>
      </c>
      <c r="D66" s="7"/>
      <c r="E66" s="7">
        <f t="shared" si="4"/>
        <v>0</v>
      </c>
      <c r="F66" s="7">
        <v>0</v>
      </c>
      <c r="G66" s="7">
        <f t="shared" si="5"/>
        <v>0</v>
      </c>
      <c r="H66" s="58" t="e">
        <f t="shared" si="8"/>
        <v>#DIV/0!</v>
      </c>
      <c r="I66" s="58" t="e">
        <f t="shared" si="9"/>
        <v>#DIV/0!</v>
      </c>
    </row>
    <row r="67" spans="1:9" ht="15" x14ac:dyDescent="0.25">
      <c r="A67" s="26" t="s">
        <v>563</v>
      </c>
      <c r="B67" s="6" t="s">
        <v>115</v>
      </c>
      <c r="C67" s="7">
        <v>1500</v>
      </c>
      <c r="D67" s="7"/>
      <c r="E67" s="7">
        <f t="shared" si="4"/>
        <v>1500</v>
      </c>
      <c r="F67" s="51">
        <v>1500</v>
      </c>
      <c r="G67" s="7">
        <f t="shared" si="5"/>
        <v>0</v>
      </c>
      <c r="H67" s="48">
        <f t="shared" si="8"/>
        <v>1</v>
      </c>
      <c r="I67" s="48" t="e">
        <f t="shared" si="9"/>
        <v>#DIV/0!</v>
      </c>
    </row>
    <row r="68" spans="1:9" ht="15" x14ac:dyDescent="0.25">
      <c r="A68" s="6"/>
      <c r="B68" s="6"/>
      <c r="C68" s="7"/>
      <c r="D68" s="7"/>
      <c r="E68" s="7"/>
      <c r="F68" s="7"/>
      <c r="G68" s="7"/>
      <c r="H68" s="48"/>
      <c r="I68" s="48"/>
    </row>
    <row r="69" spans="1:9" ht="15" x14ac:dyDescent="0.25">
      <c r="A69" s="25" t="s">
        <v>162</v>
      </c>
      <c r="B69" s="6"/>
      <c r="C69" s="7">
        <f>SUM(C22:C68)</f>
        <v>367658</v>
      </c>
      <c r="D69" s="7">
        <f>SUM(D22:D68)</f>
        <v>0</v>
      </c>
      <c r="E69" s="7">
        <f>SUM(E22:E68)</f>
        <v>367658</v>
      </c>
      <c r="F69" s="7">
        <f>SUM(F22:F68)</f>
        <v>372509</v>
      </c>
      <c r="G69" s="7">
        <f>SUM(G22:G68)</f>
        <v>4851</v>
      </c>
      <c r="H69" s="48">
        <f t="shared" si="8"/>
        <v>1.0131943273368185</v>
      </c>
      <c r="I69" s="48" t="e">
        <f t="shared" si="9"/>
        <v>#DIV/0!</v>
      </c>
    </row>
    <row r="70" spans="1:9" ht="15" x14ac:dyDescent="0.25">
      <c r="A70" s="6"/>
      <c r="B70" s="6"/>
      <c r="C70" s="7"/>
      <c r="D70" s="7"/>
      <c r="E70" s="7"/>
      <c r="F70" s="7"/>
      <c r="G70" s="7"/>
      <c r="H70" s="48"/>
      <c r="I70" s="48"/>
    </row>
    <row r="71" spans="1:9" ht="15" x14ac:dyDescent="0.25">
      <c r="A71" s="6" t="s">
        <v>166</v>
      </c>
      <c r="B71" s="6"/>
      <c r="C71" s="7">
        <f>C18+C69</f>
        <v>317658</v>
      </c>
      <c r="D71" s="7">
        <f>D18+D69</f>
        <v>0</v>
      </c>
      <c r="E71" s="7">
        <f>E18+E69</f>
        <v>317658</v>
      </c>
      <c r="F71" s="7">
        <f>F18+F69</f>
        <v>321629</v>
      </c>
      <c r="G71" s="7">
        <f>G18+G69</f>
        <v>3971</v>
      </c>
      <c r="H71" s="48">
        <f t="shared" si="8"/>
        <v>1.0125008657109218</v>
      </c>
      <c r="I71" s="48" t="e">
        <f t="shared" si="9"/>
        <v>#DIV/0!</v>
      </c>
    </row>
  </sheetData>
  <mergeCells count="1">
    <mergeCell ref="A1:G1"/>
  </mergeCells>
  <phoneticPr fontId="1" type="noConversion"/>
  <conditionalFormatting sqref="A6:A15 A18 A20 A23:A63 A69">
    <cfRule type="expression" dxfId="62" priority="1" stopIfTrue="1">
      <formula>AND(COUNTIF($A$1:$A$349, A6)&gt;1,NOT(ISBLANK(A6)))</formula>
    </cfRule>
  </conditionalFormatting>
  <conditionalFormatting sqref="A16">
    <cfRule type="expression" dxfId="61" priority="79" stopIfTrue="1">
      <formula>AND(COUNTIF($A$1:$A$347, A16)&gt;1,NOT(ISBLANK(A16)))</formula>
    </cfRule>
  </conditionalFormatting>
  <conditionalFormatting sqref="A64:A67 A16">
    <cfRule type="expression" dxfId="60" priority="3" stopIfTrue="1">
      <formula>AND(COUNTIF($A$346:$A$346, A16)&gt;1,NOT(ISBLANK(A16)))</formula>
    </cfRule>
  </conditionalFormatting>
  <conditionalFormatting sqref="A64:A67">
    <cfRule type="expression" dxfId="59" priority="2" stopIfTrue="1">
      <formula>AND(COUNTIF($A$1:$A$348, A64)&gt;1,NOT(ISBLANK(A64)))</formula>
    </cfRule>
  </conditionalFormatting>
  <pageMargins left="0.75" right="0.75" top="1" bottom="1" header="0.5" footer="0.5"/>
  <pageSetup scale="60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K107"/>
  <sheetViews>
    <sheetView zoomScaleNormal="100" workbookViewId="0">
      <pane ySplit="3" topLeftCell="A28" activePane="bottomLeft" state="frozen"/>
      <selection activeCell="F52" sqref="F52"/>
      <selection pane="bottomLeft" activeCell="F45" sqref="F45"/>
    </sheetView>
  </sheetViews>
  <sheetFormatPr defaultColWidth="9.33203125" defaultRowHeight="13.2" x14ac:dyDescent="0.25"/>
  <cols>
    <col min="1" max="1" width="23.5546875" customWidth="1"/>
    <col min="2" max="2" width="42.44140625" bestFit="1" customWidth="1"/>
    <col min="3" max="3" width="13.5546875" style="2" customWidth="1"/>
    <col min="4" max="4" width="19.33203125" style="2" customWidth="1"/>
    <col min="5" max="5" width="13.5546875" style="2" customWidth="1"/>
    <col min="6" max="7" width="13.5546875" style="56" customWidth="1"/>
    <col min="8" max="8" width="13.5546875" style="85" customWidth="1"/>
    <col min="9" max="9" width="16.6640625" style="85" customWidth="1"/>
    <col min="10" max="10" width="15.6640625" bestFit="1" customWidth="1"/>
  </cols>
  <sheetData>
    <row r="1" spans="1:11" ht="15.6" x14ac:dyDescent="0.3">
      <c r="A1" s="289" t="s">
        <v>564</v>
      </c>
      <c r="B1" s="289"/>
      <c r="C1" s="289"/>
      <c r="D1" s="289"/>
      <c r="E1" s="289"/>
      <c r="F1" s="289"/>
      <c r="G1" s="289"/>
      <c r="H1" s="82"/>
      <c r="I1" s="82"/>
    </row>
    <row r="2" spans="1:11" ht="15.6" x14ac:dyDescent="0.3">
      <c r="A2" s="41" t="str">
        <f>Summary!A3</f>
        <v>2026 Draft Budget</v>
      </c>
      <c r="B2" s="6"/>
      <c r="C2" s="7"/>
      <c r="D2" s="7"/>
      <c r="E2" s="7"/>
      <c r="F2" s="7"/>
      <c r="G2" s="7"/>
      <c r="H2" s="82"/>
      <c r="I2" s="82"/>
    </row>
    <row r="3" spans="1:11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83" t="str">
        <f>Summary!G5</f>
        <v>% Variance Budget to Budget</v>
      </c>
      <c r="I3" s="83" t="str">
        <f>"% Variance " &amp; Summary!F4 &amp; " Actual to " &amp; Summary!G4 &amp; " Budget"</f>
        <v>% Variance 2025 Actual to 2026 Budget</v>
      </c>
    </row>
    <row r="4" spans="1:11" ht="15" x14ac:dyDescent="0.25">
      <c r="A4" s="6"/>
      <c r="B4" s="6"/>
      <c r="C4" s="7"/>
      <c r="D4" s="7"/>
      <c r="E4" s="7"/>
      <c r="F4" s="7"/>
      <c r="G4" s="7"/>
      <c r="H4" s="82"/>
      <c r="I4" s="82"/>
    </row>
    <row r="5" spans="1:11" ht="15" x14ac:dyDescent="0.25">
      <c r="A5" s="10" t="s">
        <v>22</v>
      </c>
      <c r="B5" s="6"/>
      <c r="C5" s="7"/>
      <c r="D5" s="7"/>
      <c r="E5" s="7"/>
      <c r="F5" s="7"/>
      <c r="G5" s="7"/>
      <c r="H5" s="82"/>
      <c r="I5" s="82"/>
    </row>
    <row r="6" spans="1:11" ht="15" x14ac:dyDescent="0.25">
      <c r="A6" s="6"/>
      <c r="B6" s="6"/>
      <c r="C6" s="7"/>
      <c r="D6" s="7"/>
      <c r="E6" s="7"/>
      <c r="F6" s="7"/>
      <c r="G6" s="7"/>
      <c r="H6" s="82"/>
      <c r="I6" s="82"/>
    </row>
    <row r="7" spans="1:11" ht="15" x14ac:dyDescent="0.25">
      <c r="A7" s="6"/>
      <c r="B7" s="6"/>
      <c r="C7" s="7"/>
      <c r="D7" s="7"/>
      <c r="E7" s="7"/>
      <c r="F7" s="7"/>
      <c r="G7" s="7"/>
      <c r="H7" s="84"/>
      <c r="I7" s="84"/>
    </row>
    <row r="8" spans="1:11" ht="15" x14ac:dyDescent="0.25">
      <c r="A8" s="6"/>
      <c r="B8" s="6"/>
      <c r="C8" s="7"/>
      <c r="D8" s="7"/>
      <c r="E8" s="7"/>
      <c r="F8" s="7"/>
      <c r="G8" s="7"/>
      <c r="H8" s="84"/>
      <c r="I8" s="84"/>
    </row>
    <row r="9" spans="1:11" ht="15" x14ac:dyDescent="0.25">
      <c r="A9" s="10" t="s">
        <v>565</v>
      </c>
      <c r="B9" s="6" t="s">
        <v>44</v>
      </c>
      <c r="C9" s="7">
        <v>0</v>
      </c>
      <c r="D9" s="7"/>
      <c r="E9" s="7">
        <f t="shared" ref="E9:E28" si="0">C9-D9</f>
        <v>0</v>
      </c>
      <c r="F9" s="7"/>
      <c r="G9" s="7">
        <f>F9-C9</f>
        <v>0</v>
      </c>
      <c r="H9" s="84" t="e">
        <f>F9/C9</f>
        <v>#DIV/0!</v>
      </c>
      <c r="I9" s="84" t="e">
        <f t="shared" ref="I9" si="1">F9/D9</f>
        <v>#DIV/0!</v>
      </c>
    </row>
    <row r="10" spans="1:11" ht="15" x14ac:dyDescent="0.25">
      <c r="A10" s="10" t="s">
        <v>566</v>
      </c>
      <c r="B10" s="6" t="s">
        <v>46</v>
      </c>
      <c r="C10" s="7">
        <v>0</v>
      </c>
      <c r="D10" s="7"/>
      <c r="E10" s="7">
        <f t="shared" si="0"/>
        <v>0</v>
      </c>
      <c r="F10" s="7"/>
      <c r="G10" s="7">
        <f>F10-C10</f>
        <v>0</v>
      </c>
      <c r="H10" s="84" t="e">
        <f t="shared" ref="H10:H65" si="2">F10/C10</f>
        <v>#DIV/0!</v>
      </c>
      <c r="I10" s="84" t="e">
        <f t="shared" ref="I10:I65" si="3">F10/D10</f>
        <v>#DIV/0!</v>
      </c>
    </row>
    <row r="11" spans="1:11" ht="15" x14ac:dyDescent="0.25">
      <c r="A11" s="22" t="s">
        <v>567</v>
      </c>
      <c r="B11" s="6" t="s">
        <v>568</v>
      </c>
      <c r="C11" s="7">
        <v>-16000</v>
      </c>
      <c r="D11" s="7"/>
      <c r="E11" s="7">
        <f t="shared" si="0"/>
        <v>-16000</v>
      </c>
      <c r="F11" s="7">
        <v>-16500</v>
      </c>
      <c r="G11" s="7">
        <f>F11-C11</f>
        <v>-500</v>
      </c>
      <c r="H11" s="84">
        <f>F11/C11</f>
        <v>1.03125</v>
      </c>
      <c r="I11" s="84" t="e">
        <f t="shared" si="3"/>
        <v>#DIV/0!</v>
      </c>
      <c r="K11" s="2">
        <f>F11</f>
        <v>-16500</v>
      </c>
    </row>
    <row r="12" spans="1:11" ht="15" x14ac:dyDescent="0.25">
      <c r="A12" s="22" t="s">
        <v>569</v>
      </c>
      <c r="B12" s="6" t="s">
        <v>570</v>
      </c>
      <c r="C12" s="7">
        <v>-6400</v>
      </c>
      <c r="D12" s="7"/>
      <c r="E12" s="7">
        <f t="shared" si="0"/>
        <v>-6400</v>
      </c>
      <c r="F12" s="7">
        <v>-6400</v>
      </c>
      <c r="G12" s="7">
        <f t="shared" ref="G12:G28" si="4">F12-C12</f>
        <v>0</v>
      </c>
      <c r="H12" s="84">
        <f t="shared" si="2"/>
        <v>1</v>
      </c>
      <c r="I12" s="84" t="e">
        <f t="shared" si="3"/>
        <v>#DIV/0!</v>
      </c>
    </row>
    <row r="13" spans="1:11" ht="15" x14ac:dyDescent="0.25">
      <c r="A13" s="22" t="s">
        <v>571</v>
      </c>
      <c r="B13" s="6" t="s">
        <v>198</v>
      </c>
      <c r="C13" s="7">
        <v>-2600</v>
      </c>
      <c r="D13" s="7"/>
      <c r="E13" s="7">
        <f t="shared" si="0"/>
        <v>-2600</v>
      </c>
      <c r="F13" s="7">
        <v>-2500</v>
      </c>
      <c r="G13" s="7">
        <f t="shared" si="4"/>
        <v>100</v>
      </c>
      <c r="H13" s="84">
        <f t="shared" si="2"/>
        <v>0.96153846153846156</v>
      </c>
      <c r="I13" s="84" t="e">
        <f t="shared" si="3"/>
        <v>#DIV/0!</v>
      </c>
    </row>
    <row r="14" spans="1:11" ht="15" x14ac:dyDescent="0.25">
      <c r="A14" s="22" t="s">
        <v>572</v>
      </c>
      <c r="B14" s="6" t="s">
        <v>573</v>
      </c>
      <c r="C14" s="7">
        <v>-3100</v>
      </c>
      <c r="D14" s="7"/>
      <c r="E14" s="7">
        <f t="shared" si="0"/>
        <v>-3100</v>
      </c>
      <c r="F14" s="7">
        <v>-2600</v>
      </c>
      <c r="G14" s="7">
        <f t="shared" si="4"/>
        <v>500</v>
      </c>
      <c r="H14" s="84">
        <f t="shared" si="2"/>
        <v>0.83870967741935487</v>
      </c>
      <c r="I14" s="84" t="e">
        <f t="shared" si="3"/>
        <v>#DIV/0!</v>
      </c>
      <c r="K14" s="2">
        <f>F14</f>
        <v>-2600</v>
      </c>
    </row>
    <row r="15" spans="1:11" ht="15" x14ac:dyDescent="0.25">
      <c r="A15" s="22" t="s">
        <v>574</v>
      </c>
      <c r="B15" s="6" t="s">
        <v>575</v>
      </c>
      <c r="C15" s="7">
        <v>-75000</v>
      </c>
      <c r="D15" s="7"/>
      <c r="E15" s="7">
        <f t="shared" si="0"/>
        <v>-75000</v>
      </c>
      <c r="F15" s="7">
        <v>-75000</v>
      </c>
      <c r="G15" s="7">
        <f t="shared" si="4"/>
        <v>0</v>
      </c>
      <c r="H15" s="84">
        <f t="shared" si="2"/>
        <v>1</v>
      </c>
      <c r="I15" s="84" t="e">
        <f t="shared" si="3"/>
        <v>#DIV/0!</v>
      </c>
      <c r="K15" s="2">
        <f>F15</f>
        <v>-75000</v>
      </c>
    </row>
    <row r="16" spans="1:11" ht="15" x14ac:dyDescent="0.25">
      <c r="A16" s="22" t="s">
        <v>576</v>
      </c>
      <c r="B16" s="6" t="s">
        <v>577</v>
      </c>
      <c r="C16" s="7">
        <v>-16000</v>
      </c>
      <c r="D16" s="7"/>
      <c r="E16" s="7">
        <f t="shared" si="0"/>
        <v>-16000</v>
      </c>
      <c r="F16" s="7">
        <v>-18000</v>
      </c>
      <c r="G16" s="7">
        <f t="shared" si="4"/>
        <v>-2000</v>
      </c>
      <c r="H16" s="84">
        <f t="shared" si="2"/>
        <v>1.125</v>
      </c>
      <c r="I16" s="84" t="e">
        <f t="shared" si="3"/>
        <v>#DIV/0!</v>
      </c>
    </row>
    <row r="17" spans="1:11" ht="15" x14ac:dyDescent="0.25">
      <c r="A17" s="22" t="s">
        <v>578</v>
      </c>
      <c r="B17" s="6" t="s">
        <v>579</v>
      </c>
      <c r="C17" s="7">
        <v>-17500</v>
      </c>
      <c r="D17" s="7"/>
      <c r="E17" s="7">
        <f t="shared" si="0"/>
        <v>-17500</v>
      </c>
      <c r="F17" s="7">
        <v>-18000</v>
      </c>
      <c r="G17" s="7">
        <f t="shared" si="4"/>
        <v>-500</v>
      </c>
      <c r="H17" s="84">
        <f t="shared" si="2"/>
        <v>1.0285714285714285</v>
      </c>
      <c r="I17" s="84" t="e">
        <f t="shared" si="3"/>
        <v>#DIV/0!</v>
      </c>
    </row>
    <row r="18" spans="1:11" ht="15" x14ac:dyDescent="0.25">
      <c r="A18" s="22" t="s">
        <v>580</v>
      </c>
      <c r="B18" s="6" t="s">
        <v>581</v>
      </c>
      <c r="C18" s="7">
        <v>-4000</v>
      </c>
      <c r="D18" s="7"/>
      <c r="E18" s="7">
        <f t="shared" si="0"/>
        <v>-4000</v>
      </c>
      <c r="F18" s="7">
        <v>-4000</v>
      </c>
      <c r="G18" s="7">
        <f t="shared" si="4"/>
        <v>0</v>
      </c>
      <c r="H18" s="84">
        <f t="shared" si="2"/>
        <v>1</v>
      </c>
      <c r="I18" s="84" t="e">
        <f t="shared" si="3"/>
        <v>#DIV/0!</v>
      </c>
    </row>
    <row r="19" spans="1:11" ht="15" x14ac:dyDescent="0.25">
      <c r="A19" s="22" t="s">
        <v>582</v>
      </c>
      <c r="B19" s="6" t="s">
        <v>36</v>
      </c>
      <c r="C19" s="7">
        <v>0</v>
      </c>
      <c r="D19" s="7"/>
      <c r="E19" s="7">
        <f t="shared" si="0"/>
        <v>0</v>
      </c>
      <c r="F19" s="7">
        <v>0</v>
      </c>
      <c r="G19" s="7">
        <f t="shared" si="4"/>
        <v>0</v>
      </c>
      <c r="H19" s="84" t="e">
        <f t="shared" si="2"/>
        <v>#DIV/0!</v>
      </c>
      <c r="I19" s="84" t="e">
        <f t="shared" si="3"/>
        <v>#DIV/0!</v>
      </c>
    </row>
    <row r="20" spans="1:11" ht="15" x14ac:dyDescent="0.25">
      <c r="A20" s="22" t="s">
        <v>583</v>
      </c>
      <c r="B20" s="6" t="s">
        <v>205</v>
      </c>
      <c r="C20" s="7">
        <v>0</v>
      </c>
      <c r="D20" s="7"/>
      <c r="E20" s="7">
        <f t="shared" si="0"/>
        <v>0</v>
      </c>
      <c r="F20" s="7">
        <v>0</v>
      </c>
      <c r="G20" s="7">
        <f t="shared" si="4"/>
        <v>0</v>
      </c>
      <c r="H20" s="84" t="e">
        <f t="shared" si="2"/>
        <v>#DIV/0!</v>
      </c>
      <c r="I20" s="84" t="e">
        <f t="shared" si="3"/>
        <v>#DIV/0!</v>
      </c>
    </row>
    <row r="21" spans="1:11" ht="15" x14ac:dyDescent="0.25">
      <c r="A21" s="22" t="s">
        <v>584</v>
      </c>
      <c r="B21" s="6" t="s">
        <v>585</v>
      </c>
      <c r="C21" s="7">
        <v>-49707</v>
      </c>
      <c r="D21" s="7"/>
      <c r="E21" s="7">
        <f t="shared" si="0"/>
        <v>-49707</v>
      </c>
      <c r="F21" s="7">
        <v>-50393</v>
      </c>
      <c r="G21" s="7">
        <f t="shared" si="4"/>
        <v>-686</v>
      </c>
      <c r="H21" s="84">
        <f t="shared" si="2"/>
        <v>1.0138008731164625</v>
      </c>
      <c r="I21" s="84" t="e">
        <f t="shared" si="3"/>
        <v>#DIV/0!</v>
      </c>
    </row>
    <row r="22" spans="1:11" ht="15" x14ac:dyDescent="0.25">
      <c r="A22" s="22" t="s">
        <v>586</v>
      </c>
      <c r="B22" s="6" t="s">
        <v>587</v>
      </c>
      <c r="C22" s="7">
        <v>-85000</v>
      </c>
      <c r="D22" s="7"/>
      <c r="E22" s="7">
        <f t="shared" si="0"/>
        <v>-85000</v>
      </c>
      <c r="F22" s="7">
        <v>-85000</v>
      </c>
      <c r="G22" s="7">
        <f t="shared" si="4"/>
        <v>0</v>
      </c>
      <c r="H22" s="84">
        <f t="shared" si="2"/>
        <v>1</v>
      </c>
      <c r="I22" s="84" t="e">
        <f t="shared" si="3"/>
        <v>#DIV/0!</v>
      </c>
      <c r="K22" s="2">
        <f>F22</f>
        <v>-85000</v>
      </c>
    </row>
    <row r="23" spans="1:11" ht="15" x14ac:dyDescent="0.25">
      <c r="A23" s="22" t="s">
        <v>588</v>
      </c>
      <c r="B23" s="6" t="s">
        <v>589</v>
      </c>
      <c r="C23" s="7">
        <v>-44900</v>
      </c>
      <c r="D23" s="7"/>
      <c r="E23" s="7">
        <f t="shared" si="0"/>
        <v>-44900</v>
      </c>
      <c r="F23" s="7">
        <v>-45600</v>
      </c>
      <c r="G23" s="7">
        <f t="shared" si="4"/>
        <v>-700</v>
      </c>
      <c r="H23" s="84">
        <f t="shared" si="2"/>
        <v>1.0155902004454342</v>
      </c>
      <c r="I23" s="84" t="e">
        <f t="shared" si="3"/>
        <v>#DIV/0!</v>
      </c>
      <c r="K23" s="2">
        <f>F23</f>
        <v>-45600</v>
      </c>
    </row>
    <row r="24" spans="1:11" ht="15" x14ac:dyDescent="0.25">
      <c r="A24" s="22" t="s">
        <v>590</v>
      </c>
      <c r="B24" s="6" t="s">
        <v>591</v>
      </c>
      <c r="C24" s="7">
        <v>-8500</v>
      </c>
      <c r="D24" s="7"/>
      <c r="E24" s="7">
        <f t="shared" si="0"/>
        <v>-8500</v>
      </c>
      <c r="F24" s="7">
        <v>-8700</v>
      </c>
      <c r="G24" s="7">
        <f t="shared" si="4"/>
        <v>-200</v>
      </c>
      <c r="H24" s="84">
        <f t="shared" si="2"/>
        <v>1.0235294117647058</v>
      </c>
      <c r="I24" s="84" t="e">
        <f t="shared" si="3"/>
        <v>#DIV/0!</v>
      </c>
    </row>
    <row r="25" spans="1:11" ht="15" x14ac:dyDescent="0.25">
      <c r="A25" s="22" t="s">
        <v>592</v>
      </c>
      <c r="B25" s="6" t="s">
        <v>593</v>
      </c>
      <c r="C25" s="7">
        <v>-2500</v>
      </c>
      <c r="D25" s="7"/>
      <c r="E25" s="7">
        <f t="shared" si="0"/>
        <v>-2500</v>
      </c>
      <c r="F25" s="7">
        <v>-2500</v>
      </c>
      <c r="G25" s="7">
        <f t="shared" si="4"/>
        <v>0</v>
      </c>
      <c r="H25" s="84">
        <f t="shared" si="2"/>
        <v>1</v>
      </c>
      <c r="I25" s="84" t="e">
        <f t="shared" si="3"/>
        <v>#DIV/0!</v>
      </c>
    </row>
    <row r="26" spans="1:11" ht="15" x14ac:dyDescent="0.25">
      <c r="A26" s="22" t="s">
        <v>594</v>
      </c>
      <c r="B26" s="6" t="s">
        <v>595</v>
      </c>
      <c r="C26" s="7">
        <v>-7000</v>
      </c>
      <c r="D26" s="7"/>
      <c r="E26" s="7">
        <f t="shared" si="0"/>
        <v>-7000</v>
      </c>
      <c r="F26" s="7">
        <v>-7000</v>
      </c>
      <c r="G26" s="7">
        <f t="shared" si="4"/>
        <v>0</v>
      </c>
      <c r="H26" s="84">
        <f t="shared" si="2"/>
        <v>1</v>
      </c>
      <c r="I26" s="84" t="e">
        <f t="shared" si="3"/>
        <v>#DIV/0!</v>
      </c>
    </row>
    <row r="27" spans="1:11" ht="15" x14ac:dyDescent="0.25">
      <c r="A27" s="21" t="s">
        <v>596</v>
      </c>
      <c r="B27" s="6" t="s">
        <v>320</v>
      </c>
      <c r="C27" s="7">
        <v>-243800</v>
      </c>
      <c r="D27" s="7"/>
      <c r="E27" s="7">
        <f t="shared" si="0"/>
        <v>-243800</v>
      </c>
      <c r="F27" s="43">
        <v>-209222</v>
      </c>
      <c r="G27" s="7">
        <f t="shared" si="4"/>
        <v>34578</v>
      </c>
      <c r="H27" s="84">
        <f t="shared" si="2"/>
        <v>0.85817063166529939</v>
      </c>
      <c r="I27" s="84" t="e">
        <f t="shared" si="3"/>
        <v>#DIV/0!</v>
      </c>
    </row>
    <row r="28" spans="1:11" ht="15" x14ac:dyDescent="0.25">
      <c r="A28" s="21" t="s">
        <v>597</v>
      </c>
      <c r="B28" s="6" t="s">
        <v>208</v>
      </c>
      <c r="C28" s="7">
        <v>-46000</v>
      </c>
      <c r="D28" s="7"/>
      <c r="E28" s="7">
        <f t="shared" si="0"/>
        <v>-46000</v>
      </c>
      <c r="F28" s="7">
        <v>-27000</v>
      </c>
      <c r="G28" s="7">
        <f t="shared" si="4"/>
        <v>19000</v>
      </c>
      <c r="H28" s="84">
        <f t="shared" si="2"/>
        <v>0.58695652173913049</v>
      </c>
      <c r="I28" s="84" t="e">
        <f t="shared" si="3"/>
        <v>#DIV/0!</v>
      </c>
    </row>
    <row r="29" spans="1:11" ht="15" x14ac:dyDescent="0.25">
      <c r="A29" s="6"/>
      <c r="B29" s="6"/>
      <c r="C29" s="7"/>
      <c r="D29" s="7"/>
      <c r="E29" s="7"/>
      <c r="F29" s="7"/>
      <c r="G29" s="7"/>
      <c r="H29" s="84" t="e">
        <f t="shared" si="2"/>
        <v>#DIV/0!</v>
      </c>
      <c r="I29" s="84" t="e">
        <f t="shared" si="3"/>
        <v>#DIV/0!</v>
      </c>
    </row>
    <row r="30" spans="1:11" ht="15" x14ac:dyDescent="0.25">
      <c r="A30" s="22" t="s">
        <v>49</v>
      </c>
      <c r="B30" s="6"/>
      <c r="C30" s="7">
        <f>SUM(C8:C29)</f>
        <v>-628007</v>
      </c>
      <c r="D30" s="7">
        <f>SUM(D8:D29)</f>
        <v>0</v>
      </c>
      <c r="E30" s="7">
        <f>SUM(E8:E29)</f>
        <v>-628007</v>
      </c>
      <c r="F30" s="7">
        <f>SUM(F8:F29)</f>
        <v>-578415</v>
      </c>
      <c r="G30" s="7">
        <f>SUM(G8:G29)</f>
        <v>49592</v>
      </c>
      <c r="H30" s="84">
        <f t="shared" si="2"/>
        <v>0.9210327273422112</v>
      </c>
      <c r="I30" s="84" t="e">
        <f t="shared" si="3"/>
        <v>#DIV/0!</v>
      </c>
      <c r="K30">
        <f>SUM(K9:K29)</f>
        <v>-224700</v>
      </c>
    </row>
    <row r="31" spans="1:11" ht="15" x14ac:dyDescent="0.25">
      <c r="A31" s="6"/>
      <c r="B31" s="6"/>
      <c r="C31" s="7"/>
      <c r="D31" s="7"/>
      <c r="E31" s="7"/>
      <c r="F31" s="7"/>
      <c r="G31" s="7" t="s">
        <v>598</v>
      </c>
      <c r="H31" s="84"/>
      <c r="I31" s="84"/>
    </row>
    <row r="32" spans="1:11" ht="15" x14ac:dyDescent="0.25">
      <c r="A32" s="22" t="s">
        <v>50</v>
      </c>
      <c r="B32" s="6"/>
      <c r="C32" s="7"/>
      <c r="D32" s="7"/>
      <c r="E32" s="7"/>
      <c r="F32" s="7"/>
      <c r="G32" s="7"/>
      <c r="H32" s="84"/>
      <c r="I32" s="84"/>
    </row>
    <row r="33" spans="1:11" ht="15" x14ac:dyDescent="0.25">
      <c r="A33" s="6"/>
      <c r="B33" s="6"/>
      <c r="C33" s="7"/>
      <c r="D33" s="7"/>
      <c r="E33" s="7"/>
      <c r="F33" s="7"/>
      <c r="G33" s="7"/>
      <c r="H33" s="84"/>
      <c r="I33" s="84"/>
    </row>
    <row r="34" spans="1:11" ht="15" x14ac:dyDescent="0.25">
      <c r="A34" s="28" t="s">
        <v>599</v>
      </c>
      <c r="B34" s="6" t="s">
        <v>53</v>
      </c>
      <c r="C34" s="7">
        <v>300900</v>
      </c>
      <c r="D34" s="7"/>
      <c r="E34" s="7">
        <f t="shared" ref="E34:E103" si="5">C34-D34</f>
        <v>300900</v>
      </c>
      <c r="F34" s="7">
        <v>427024</v>
      </c>
      <c r="G34" s="7">
        <f t="shared" ref="G34:G103" si="6">F34-C34</f>
        <v>126124</v>
      </c>
      <c r="H34" s="84">
        <f t="shared" si="2"/>
        <v>1.419155865736125</v>
      </c>
      <c r="I34" s="84" t="e">
        <f t="shared" si="3"/>
        <v>#DIV/0!</v>
      </c>
      <c r="J34" t="s">
        <v>921</v>
      </c>
      <c r="K34" s="2">
        <f>SUM(F34:F40)</f>
        <v>849153</v>
      </c>
    </row>
    <row r="35" spans="1:11" ht="15" x14ac:dyDescent="0.25">
      <c r="A35" s="28" t="s">
        <v>600</v>
      </c>
      <c r="B35" s="6" t="s">
        <v>601</v>
      </c>
      <c r="C35" s="7">
        <v>293192</v>
      </c>
      <c r="D35" s="7"/>
      <c r="E35" s="7">
        <f t="shared" si="5"/>
        <v>293192</v>
      </c>
      <c r="F35" s="7">
        <v>235193</v>
      </c>
      <c r="G35" s="7">
        <f t="shared" si="6"/>
        <v>-57999</v>
      </c>
      <c r="H35" s="84">
        <f t="shared" si="2"/>
        <v>0.80218082348768038</v>
      </c>
      <c r="I35" s="84" t="e">
        <f t="shared" si="3"/>
        <v>#DIV/0!</v>
      </c>
    </row>
    <row r="36" spans="1:11" ht="15" x14ac:dyDescent="0.25">
      <c r="A36" s="28" t="s">
        <v>602</v>
      </c>
      <c r="B36" s="6" t="s">
        <v>57</v>
      </c>
      <c r="C36" s="7">
        <v>43682</v>
      </c>
      <c r="D36" s="7"/>
      <c r="E36" s="7">
        <f t="shared" si="5"/>
        <v>43682</v>
      </c>
      <c r="F36" s="7">
        <v>48151</v>
      </c>
      <c r="G36" s="7">
        <f t="shared" si="6"/>
        <v>4469</v>
      </c>
      <c r="H36" s="84">
        <f t="shared" si="2"/>
        <v>1.1023075866489629</v>
      </c>
      <c r="I36" s="84" t="e">
        <f t="shared" si="3"/>
        <v>#DIV/0!</v>
      </c>
    </row>
    <row r="37" spans="1:11" ht="15" x14ac:dyDescent="0.25">
      <c r="A37" s="28" t="s">
        <v>603</v>
      </c>
      <c r="B37" s="6" t="s">
        <v>604</v>
      </c>
      <c r="C37" s="7">
        <v>11584</v>
      </c>
      <c r="D37" s="7"/>
      <c r="E37" s="7">
        <f t="shared" si="5"/>
        <v>11584</v>
      </c>
      <c r="F37" s="7">
        <v>13527</v>
      </c>
      <c r="G37" s="7">
        <f t="shared" si="6"/>
        <v>1943</v>
      </c>
      <c r="H37" s="84">
        <f t="shared" si="2"/>
        <v>1.1677313535911602</v>
      </c>
      <c r="I37" s="84" t="e">
        <f t="shared" si="3"/>
        <v>#DIV/0!</v>
      </c>
      <c r="J37" s="2"/>
    </row>
    <row r="38" spans="1:11" ht="15" x14ac:dyDescent="0.25">
      <c r="A38" s="28" t="s">
        <v>605</v>
      </c>
      <c r="B38" s="6" t="s">
        <v>606</v>
      </c>
      <c r="C38" s="7">
        <v>19109</v>
      </c>
      <c r="D38" s="7"/>
      <c r="E38" s="7">
        <f t="shared" si="5"/>
        <v>19109</v>
      </c>
      <c r="F38" s="7">
        <v>21693</v>
      </c>
      <c r="G38" s="7">
        <f t="shared" si="6"/>
        <v>2584</v>
      </c>
      <c r="H38" s="84">
        <f t="shared" si="2"/>
        <v>1.1352242398869643</v>
      </c>
      <c r="I38" s="84" t="e">
        <f t="shared" si="3"/>
        <v>#DIV/0!</v>
      </c>
    </row>
    <row r="39" spans="1:11" ht="15" x14ac:dyDescent="0.25">
      <c r="A39" s="28" t="s">
        <v>607</v>
      </c>
      <c r="B39" s="6" t="s">
        <v>608</v>
      </c>
      <c r="C39" s="7">
        <v>37498</v>
      </c>
      <c r="D39" s="7"/>
      <c r="E39" s="7">
        <f t="shared" si="5"/>
        <v>37498</v>
      </c>
      <c r="F39" s="7">
        <v>41287</v>
      </c>
      <c r="G39" s="7">
        <f t="shared" si="6"/>
        <v>3789</v>
      </c>
      <c r="H39" s="84">
        <f t="shared" si="2"/>
        <v>1.1010453890874179</v>
      </c>
      <c r="I39" s="84" t="e">
        <f t="shared" si="3"/>
        <v>#DIV/0!</v>
      </c>
    </row>
    <row r="40" spans="1:11" ht="15" x14ac:dyDescent="0.25">
      <c r="A40" s="28" t="s">
        <v>609</v>
      </c>
      <c r="B40" s="6" t="s">
        <v>610</v>
      </c>
      <c r="C40" s="7">
        <v>47138</v>
      </c>
      <c r="D40" s="7"/>
      <c r="E40" s="7">
        <f t="shared" si="5"/>
        <v>47138</v>
      </c>
      <c r="F40" s="7">
        <v>62278</v>
      </c>
      <c r="G40" s="7">
        <f t="shared" si="6"/>
        <v>15140</v>
      </c>
      <c r="H40" s="84">
        <f t="shared" si="2"/>
        <v>1.3211846068988926</v>
      </c>
      <c r="I40" s="84" t="e">
        <f t="shared" si="3"/>
        <v>#DIV/0!</v>
      </c>
    </row>
    <row r="41" spans="1:11" ht="15" x14ac:dyDescent="0.25">
      <c r="A41" s="26" t="s">
        <v>611</v>
      </c>
      <c r="B41" s="6" t="s">
        <v>67</v>
      </c>
      <c r="C41" s="7">
        <v>0</v>
      </c>
      <c r="D41" s="7"/>
      <c r="E41" s="7">
        <f>C41-D41</f>
        <v>0</v>
      </c>
      <c r="F41" s="7">
        <v>900</v>
      </c>
      <c r="G41" s="7">
        <f t="shared" si="6"/>
        <v>900</v>
      </c>
      <c r="H41" s="84" t="e">
        <f>F41/C41</f>
        <v>#DIV/0!</v>
      </c>
      <c r="I41" s="84" t="e">
        <f>F41/D41</f>
        <v>#DIV/0!</v>
      </c>
    </row>
    <row r="42" spans="1:11" ht="15" x14ac:dyDescent="0.25">
      <c r="A42" s="28" t="s">
        <v>612</v>
      </c>
      <c r="B42" s="6" t="s">
        <v>613</v>
      </c>
      <c r="C42" s="7">
        <v>4000</v>
      </c>
      <c r="D42" s="7"/>
      <c r="E42" s="7">
        <f t="shared" si="5"/>
        <v>4000</v>
      </c>
      <c r="F42" s="7">
        <v>4000</v>
      </c>
      <c r="G42" s="7">
        <f t="shared" si="6"/>
        <v>0</v>
      </c>
      <c r="H42" s="84">
        <f t="shared" si="2"/>
        <v>1</v>
      </c>
      <c r="I42" s="84" t="e">
        <f t="shared" si="3"/>
        <v>#DIV/0!</v>
      </c>
    </row>
    <row r="43" spans="1:11" ht="15" x14ac:dyDescent="0.25">
      <c r="A43" s="26" t="s">
        <v>614</v>
      </c>
      <c r="B43" s="6" t="s">
        <v>71</v>
      </c>
      <c r="C43" s="7">
        <v>0</v>
      </c>
      <c r="D43" s="7"/>
      <c r="E43" s="7">
        <f t="shared" si="5"/>
        <v>0</v>
      </c>
      <c r="F43" s="7">
        <v>1400</v>
      </c>
      <c r="G43" s="7">
        <f t="shared" si="6"/>
        <v>1400</v>
      </c>
      <c r="H43" s="84" t="e">
        <f t="shared" si="2"/>
        <v>#DIV/0!</v>
      </c>
      <c r="I43" s="84" t="e">
        <f t="shared" si="3"/>
        <v>#DIV/0!</v>
      </c>
    </row>
    <row r="44" spans="1:11" ht="15" x14ac:dyDescent="0.25">
      <c r="A44" s="26" t="s">
        <v>615</v>
      </c>
      <c r="B44" s="6" t="s">
        <v>616</v>
      </c>
      <c r="C44" s="7">
        <v>0</v>
      </c>
      <c r="D44" s="7"/>
      <c r="E44" s="7">
        <f t="shared" si="5"/>
        <v>0</v>
      </c>
      <c r="F44" s="7">
        <v>0</v>
      </c>
      <c r="G44" s="7">
        <f t="shared" si="6"/>
        <v>0</v>
      </c>
      <c r="H44" s="84" t="e">
        <f t="shared" si="2"/>
        <v>#DIV/0!</v>
      </c>
      <c r="I44" s="84" t="e">
        <f t="shared" si="3"/>
        <v>#DIV/0!</v>
      </c>
    </row>
    <row r="45" spans="1:11" ht="15" x14ac:dyDescent="0.25">
      <c r="A45" s="26" t="s">
        <v>617</v>
      </c>
      <c r="B45" s="6" t="s">
        <v>79</v>
      </c>
      <c r="C45" s="7">
        <v>6000</v>
      </c>
      <c r="D45" s="7"/>
      <c r="E45" s="7">
        <f t="shared" si="5"/>
        <v>6000</v>
      </c>
      <c r="F45" s="7">
        <v>6470</v>
      </c>
      <c r="G45" s="7">
        <f t="shared" si="6"/>
        <v>470</v>
      </c>
      <c r="H45" s="84">
        <f t="shared" si="2"/>
        <v>1.0783333333333334</v>
      </c>
      <c r="I45" s="84" t="e">
        <f t="shared" si="3"/>
        <v>#DIV/0!</v>
      </c>
    </row>
    <row r="46" spans="1:11" ht="15" x14ac:dyDescent="0.25">
      <c r="A46" s="28" t="s">
        <v>618</v>
      </c>
      <c r="B46" s="6" t="s">
        <v>81</v>
      </c>
      <c r="C46" s="7">
        <v>2600</v>
      </c>
      <c r="D46" s="7"/>
      <c r="E46" s="7">
        <f t="shared" si="5"/>
        <v>2600</v>
      </c>
      <c r="F46" s="7">
        <v>2600</v>
      </c>
      <c r="G46" s="7">
        <f t="shared" si="6"/>
        <v>0</v>
      </c>
      <c r="H46" s="84">
        <f t="shared" si="2"/>
        <v>1</v>
      </c>
      <c r="I46" s="84" t="e">
        <f t="shared" si="3"/>
        <v>#DIV/0!</v>
      </c>
    </row>
    <row r="47" spans="1:11" ht="15" x14ac:dyDescent="0.25">
      <c r="A47" s="21" t="s">
        <v>619</v>
      </c>
      <c r="B47" s="6" t="s">
        <v>620</v>
      </c>
      <c r="C47" s="7">
        <v>76000</v>
      </c>
      <c r="D47" s="7"/>
      <c r="E47" s="7">
        <f t="shared" si="5"/>
        <v>76000</v>
      </c>
      <c r="F47" s="7">
        <v>81000</v>
      </c>
      <c r="G47" s="7">
        <f t="shared" si="6"/>
        <v>5000</v>
      </c>
      <c r="H47" s="84">
        <f t="shared" si="2"/>
        <v>1.0657894736842106</v>
      </c>
      <c r="I47" s="84" t="e">
        <f t="shared" si="3"/>
        <v>#DIV/0!</v>
      </c>
    </row>
    <row r="48" spans="1:11" ht="15" x14ac:dyDescent="0.25">
      <c r="A48" s="28" t="s">
        <v>621</v>
      </c>
      <c r="B48" s="6" t="s">
        <v>622</v>
      </c>
      <c r="C48" s="7">
        <v>143000</v>
      </c>
      <c r="D48" s="7"/>
      <c r="E48" s="7">
        <f t="shared" si="5"/>
        <v>143000</v>
      </c>
      <c r="F48" s="7">
        <v>145000</v>
      </c>
      <c r="G48" s="7">
        <f t="shared" si="6"/>
        <v>2000</v>
      </c>
      <c r="H48" s="84">
        <f t="shared" si="2"/>
        <v>1.013986013986014</v>
      </c>
      <c r="I48" s="84" t="e">
        <f t="shared" si="3"/>
        <v>#DIV/0!</v>
      </c>
    </row>
    <row r="49" spans="1:11" ht="15" x14ac:dyDescent="0.25">
      <c r="A49" s="26" t="s">
        <v>623</v>
      </c>
      <c r="B49" s="6" t="s">
        <v>624</v>
      </c>
      <c r="C49" s="7">
        <v>1250</v>
      </c>
      <c r="D49" s="7"/>
      <c r="E49" s="7">
        <f t="shared" si="5"/>
        <v>1250</v>
      </c>
      <c r="F49" s="7">
        <v>1250</v>
      </c>
      <c r="G49" s="7">
        <f t="shared" si="6"/>
        <v>0</v>
      </c>
      <c r="H49" s="84">
        <f t="shared" si="2"/>
        <v>1</v>
      </c>
      <c r="I49" s="84" t="e">
        <f t="shared" si="3"/>
        <v>#DIV/0!</v>
      </c>
    </row>
    <row r="50" spans="1:11" ht="15" x14ac:dyDescent="0.25">
      <c r="A50" s="28" t="s">
        <v>625</v>
      </c>
      <c r="B50" s="6" t="s">
        <v>370</v>
      </c>
      <c r="C50" s="7">
        <v>4320</v>
      </c>
      <c r="D50" s="7"/>
      <c r="E50" s="7">
        <f t="shared" si="5"/>
        <v>4320</v>
      </c>
      <c r="F50" s="7">
        <v>3950</v>
      </c>
      <c r="G50" s="7">
        <f t="shared" si="6"/>
        <v>-370</v>
      </c>
      <c r="H50" s="84">
        <f t="shared" si="2"/>
        <v>0.91435185185185186</v>
      </c>
      <c r="I50" s="84" t="e">
        <f t="shared" si="3"/>
        <v>#DIV/0!</v>
      </c>
    </row>
    <row r="51" spans="1:11" ht="15" x14ac:dyDescent="0.25">
      <c r="A51" s="28" t="s">
        <v>626</v>
      </c>
      <c r="B51" s="6" t="s">
        <v>85</v>
      </c>
      <c r="C51" s="7">
        <v>11141</v>
      </c>
      <c r="D51" s="7"/>
      <c r="E51" s="7">
        <f t="shared" si="5"/>
        <v>11141</v>
      </c>
      <c r="F51" s="43">
        <v>11898</v>
      </c>
      <c r="G51" s="7">
        <f t="shared" si="6"/>
        <v>757</v>
      </c>
      <c r="H51" s="84">
        <f t="shared" si="2"/>
        <v>1.0679472219728929</v>
      </c>
      <c r="I51" s="84" t="e">
        <f t="shared" si="3"/>
        <v>#DIV/0!</v>
      </c>
    </row>
    <row r="52" spans="1:11" ht="15" x14ac:dyDescent="0.25">
      <c r="A52" s="26" t="s">
        <v>627</v>
      </c>
      <c r="B52" s="6" t="s">
        <v>87</v>
      </c>
      <c r="C52" s="7">
        <v>38685</v>
      </c>
      <c r="D52" s="7"/>
      <c r="E52" s="7">
        <f t="shared" si="5"/>
        <v>38685</v>
      </c>
      <c r="F52" s="7">
        <v>40620</v>
      </c>
      <c r="G52" s="7">
        <f t="shared" si="6"/>
        <v>1935</v>
      </c>
      <c r="H52" s="84">
        <f t="shared" si="2"/>
        <v>1.0500193873594417</v>
      </c>
      <c r="I52" s="84" t="e">
        <f t="shared" si="3"/>
        <v>#DIV/0!</v>
      </c>
    </row>
    <row r="53" spans="1:11" ht="15" x14ac:dyDescent="0.25">
      <c r="A53" s="26" t="s">
        <v>628</v>
      </c>
      <c r="B53" s="6" t="s">
        <v>629</v>
      </c>
      <c r="C53" s="7">
        <v>0</v>
      </c>
      <c r="D53" s="7"/>
      <c r="E53" s="7">
        <f t="shared" si="5"/>
        <v>0</v>
      </c>
      <c r="F53" s="7">
        <v>0</v>
      </c>
      <c r="G53" s="7">
        <f t="shared" si="6"/>
        <v>0</v>
      </c>
      <c r="H53" s="84" t="e">
        <f t="shared" si="2"/>
        <v>#DIV/0!</v>
      </c>
      <c r="I53" s="84" t="e">
        <f t="shared" si="3"/>
        <v>#DIV/0!</v>
      </c>
    </row>
    <row r="54" spans="1:11" ht="15" x14ac:dyDescent="0.25">
      <c r="A54" s="26" t="s">
        <v>630</v>
      </c>
      <c r="B54" s="6" t="s">
        <v>91</v>
      </c>
      <c r="C54" s="7">
        <v>37000</v>
      </c>
      <c r="D54" s="7"/>
      <c r="E54" s="7">
        <f t="shared" si="5"/>
        <v>37000</v>
      </c>
      <c r="F54" s="7">
        <v>37000</v>
      </c>
      <c r="G54" s="7">
        <f t="shared" si="6"/>
        <v>0</v>
      </c>
      <c r="H54" s="84">
        <f t="shared" si="2"/>
        <v>1</v>
      </c>
      <c r="I54" s="84" t="e">
        <f t="shared" si="3"/>
        <v>#DIV/0!</v>
      </c>
    </row>
    <row r="55" spans="1:11" ht="15" x14ac:dyDescent="0.25">
      <c r="A55" s="28" t="s">
        <v>631</v>
      </c>
      <c r="B55" s="6" t="s">
        <v>95</v>
      </c>
      <c r="C55" s="7">
        <v>2285</v>
      </c>
      <c r="D55" s="7"/>
      <c r="E55" s="7">
        <f t="shared" si="5"/>
        <v>2285</v>
      </c>
      <c r="F55" s="7">
        <v>2400</v>
      </c>
      <c r="G55" s="7">
        <f t="shared" si="6"/>
        <v>115</v>
      </c>
      <c r="H55" s="84">
        <f t="shared" si="2"/>
        <v>1.0503282275711159</v>
      </c>
      <c r="I55" s="84" t="e">
        <f t="shared" si="3"/>
        <v>#DIV/0!</v>
      </c>
      <c r="K55" s="2"/>
    </row>
    <row r="56" spans="1:11" ht="15" x14ac:dyDescent="0.25">
      <c r="A56" s="28" t="s">
        <v>632</v>
      </c>
      <c r="B56" s="6" t="s">
        <v>242</v>
      </c>
      <c r="C56" s="7">
        <v>22000</v>
      </c>
      <c r="D56" s="7"/>
      <c r="E56" s="7">
        <f t="shared" si="5"/>
        <v>22000</v>
      </c>
      <c r="F56" s="7">
        <v>24200</v>
      </c>
      <c r="G56" s="7">
        <f t="shared" si="6"/>
        <v>2200</v>
      </c>
      <c r="H56" s="84">
        <f t="shared" si="2"/>
        <v>1.1000000000000001</v>
      </c>
      <c r="I56" s="84" t="e">
        <f t="shared" si="3"/>
        <v>#DIV/0!</v>
      </c>
    </row>
    <row r="57" spans="1:11" ht="15" x14ac:dyDescent="0.25">
      <c r="A57" s="28" t="s">
        <v>633</v>
      </c>
      <c r="B57" s="6" t="s">
        <v>97</v>
      </c>
      <c r="C57" s="7">
        <v>0</v>
      </c>
      <c r="D57" s="7"/>
      <c r="E57" s="7">
        <f t="shared" si="5"/>
        <v>0</v>
      </c>
      <c r="F57" s="7">
        <v>1200</v>
      </c>
      <c r="G57" s="7">
        <f t="shared" si="6"/>
        <v>1200</v>
      </c>
      <c r="H57" s="84" t="e">
        <f t="shared" si="2"/>
        <v>#DIV/0!</v>
      </c>
      <c r="I57" s="84" t="e">
        <f t="shared" si="3"/>
        <v>#DIV/0!</v>
      </c>
    </row>
    <row r="58" spans="1:11" ht="15" x14ac:dyDescent="0.25">
      <c r="A58" s="28" t="s">
        <v>634</v>
      </c>
      <c r="B58" s="6" t="s">
        <v>99</v>
      </c>
      <c r="C58" s="7">
        <v>0</v>
      </c>
      <c r="D58" s="7"/>
      <c r="E58" s="7">
        <f t="shared" si="5"/>
        <v>0</v>
      </c>
      <c r="F58" s="7">
        <v>0</v>
      </c>
      <c r="G58" s="7">
        <f t="shared" si="6"/>
        <v>0</v>
      </c>
      <c r="H58" s="84" t="e">
        <f t="shared" si="2"/>
        <v>#DIV/0!</v>
      </c>
      <c r="I58" s="84" t="e">
        <f t="shared" si="3"/>
        <v>#DIV/0!</v>
      </c>
    </row>
    <row r="59" spans="1:11" ht="15" x14ac:dyDescent="0.25">
      <c r="A59" s="21" t="s">
        <v>635</v>
      </c>
      <c r="B59" s="6" t="s">
        <v>636</v>
      </c>
      <c r="C59" s="7">
        <v>6000</v>
      </c>
      <c r="D59" s="7"/>
      <c r="E59" s="7">
        <f t="shared" si="5"/>
        <v>6000</v>
      </c>
      <c r="F59" s="7">
        <v>6000</v>
      </c>
      <c r="G59" s="7">
        <f t="shared" si="6"/>
        <v>0</v>
      </c>
      <c r="H59" s="84">
        <f t="shared" si="2"/>
        <v>1</v>
      </c>
      <c r="I59" s="84" t="e">
        <f t="shared" si="3"/>
        <v>#DIV/0!</v>
      </c>
    </row>
    <row r="60" spans="1:11" ht="15" x14ac:dyDescent="0.25">
      <c r="A60" s="21" t="s">
        <v>637</v>
      </c>
      <c r="B60" s="6" t="s">
        <v>638</v>
      </c>
      <c r="C60" s="7">
        <v>54000</v>
      </c>
      <c r="D60" s="7"/>
      <c r="E60" s="7">
        <f t="shared" si="5"/>
        <v>54000</v>
      </c>
      <c r="F60" s="7">
        <v>54000</v>
      </c>
      <c r="G60" s="7">
        <f t="shared" si="6"/>
        <v>0</v>
      </c>
      <c r="H60" s="84">
        <f t="shared" si="2"/>
        <v>1</v>
      </c>
      <c r="I60" s="84" t="e">
        <f t="shared" si="3"/>
        <v>#DIV/0!</v>
      </c>
    </row>
    <row r="61" spans="1:11" ht="15" x14ac:dyDescent="0.25">
      <c r="A61" s="28" t="s">
        <v>639</v>
      </c>
      <c r="B61" s="6" t="s">
        <v>640</v>
      </c>
      <c r="C61" s="7">
        <v>0</v>
      </c>
      <c r="D61" s="7"/>
      <c r="E61" s="7">
        <f t="shared" si="5"/>
        <v>0</v>
      </c>
      <c r="F61" s="7">
        <v>0</v>
      </c>
      <c r="G61" s="7">
        <f t="shared" si="6"/>
        <v>0</v>
      </c>
      <c r="H61" s="84" t="e">
        <f t="shared" si="2"/>
        <v>#DIV/0!</v>
      </c>
      <c r="I61" s="84" t="e">
        <f t="shared" si="3"/>
        <v>#DIV/0!</v>
      </c>
    </row>
    <row r="62" spans="1:11" ht="15" x14ac:dyDescent="0.25">
      <c r="A62" s="21" t="s">
        <v>641</v>
      </c>
      <c r="B62" s="6" t="s">
        <v>642</v>
      </c>
      <c r="C62" s="7">
        <v>0</v>
      </c>
      <c r="D62" s="7"/>
      <c r="E62" s="7">
        <f t="shared" si="5"/>
        <v>0</v>
      </c>
      <c r="F62" s="7">
        <v>0</v>
      </c>
      <c r="G62" s="7">
        <f t="shared" si="6"/>
        <v>0</v>
      </c>
      <c r="H62" s="84" t="e">
        <f t="shared" si="2"/>
        <v>#DIV/0!</v>
      </c>
      <c r="I62" s="84" t="e">
        <f t="shared" si="3"/>
        <v>#DIV/0!</v>
      </c>
    </row>
    <row r="63" spans="1:11" ht="15" x14ac:dyDescent="0.25">
      <c r="A63" s="21" t="s">
        <v>643</v>
      </c>
      <c r="B63" s="6" t="s">
        <v>644</v>
      </c>
      <c r="C63" s="7">
        <v>0</v>
      </c>
      <c r="D63" s="7"/>
      <c r="E63" s="7">
        <f t="shared" si="5"/>
        <v>0</v>
      </c>
      <c r="F63" s="7">
        <v>0</v>
      </c>
      <c r="G63" s="7">
        <f t="shared" si="6"/>
        <v>0</v>
      </c>
      <c r="H63" s="84" t="e">
        <f t="shared" si="2"/>
        <v>#DIV/0!</v>
      </c>
      <c r="I63" s="84" t="e">
        <f t="shared" si="3"/>
        <v>#DIV/0!</v>
      </c>
    </row>
    <row r="64" spans="1:11" ht="15" x14ac:dyDescent="0.25">
      <c r="A64" s="28" t="s">
        <v>645</v>
      </c>
      <c r="B64" s="6" t="s">
        <v>646</v>
      </c>
      <c r="C64" s="7">
        <v>4165</v>
      </c>
      <c r="D64" s="7"/>
      <c r="E64" s="7">
        <f t="shared" si="5"/>
        <v>4165</v>
      </c>
      <c r="F64" s="7">
        <v>4165</v>
      </c>
      <c r="G64" s="7">
        <f t="shared" si="6"/>
        <v>0</v>
      </c>
      <c r="H64" s="84">
        <f t="shared" si="2"/>
        <v>1</v>
      </c>
      <c r="I64" s="84" t="e">
        <f t="shared" si="3"/>
        <v>#DIV/0!</v>
      </c>
    </row>
    <row r="65" spans="1:10" ht="15" x14ac:dyDescent="0.25">
      <c r="A65" s="26" t="s">
        <v>647</v>
      </c>
      <c r="B65" s="6" t="s">
        <v>648</v>
      </c>
      <c r="C65" s="7">
        <v>7500</v>
      </c>
      <c r="D65" s="7"/>
      <c r="E65" s="7">
        <f t="shared" si="5"/>
        <v>7500</v>
      </c>
      <c r="F65" s="7">
        <v>7500</v>
      </c>
      <c r="G65" s="7">
        <f t="shared" si="6"/>
        <v>0</v>
      </c>
      <c r="H65" s="84">
        <f t="shared" si="2"/>
        <v>1</v>
      </c>
      <c r="I65" s="84" t="e">
        <f t="shared" si="3"/>
        <v>#DIV/0!</v>
      </c>
    </row>
    <row r="66" spans="1:10" ht="15" x14ac:dyDescent="0.25">
      <c r="A66" s="28" t="s">
        <v>649</v>
      </c>
      <c r="B66" s="6" t="s">
        <v>650</v>
      </c>
      <c r="C66" s="7">
        <v>10000</v>
      </c>
      <c r="D66" s="7"/>
      <c r="E66" s="7">
        <f t="shared" si="5"/>
        <v>10000</v>
      </c>
      <c r="F66" s="7">
        <v>10000</v>
      </c>
      <c r="G66" s="7">
        <f t="shared" si="6"/>
        <v>0</v>
      </c>
      <c r="H66" s="84">
        <f t="shared" ref="H66:H107" si="7">F66/C66</f>
        <v>1</v>
      </c>
      <c r="I66" s="84" t="e">
        <f t="shared" ref="I66:I107" si="8">F66/D66</f>
        <v>#DIV/0!</v>
      </c>
    </row>
    <row r="67" spans="1:10" ht="15" x14ac:dyDescent="0.25">
      <c r="A67" s="21" t="s">
        <v>651</v>
      </c>
      <c r="B67" s="6" t="s">
        <v>117</v>
      </c>
      <c r="C67" s="7">
        <v>1400</v>
      </c>
      <c r="D67" s="7"/>
      <c r="E67" s="7">
        <f t="shared" si="5"/>
        <v>1400</v>
      </c>
      <c r="F67" s="7">
        <v>1150</v>
      </c>
      <c r="G67" s="7">
        <f t="shared" si="6"/>
        <v>-250</v>
      </c>
      <c r="H67" s="84">
        <f t="shared" si="7"/>
        <v>0.8214285714285714</v>
      </c>
      <c r="I67" s="84" t="e">
        <f t="shared" si="8"/>
        <v>#DIV/0!</v>
      </c>
      <c r="J67" s="4"/>
    </row>
    <row r="68" spans="1:10" ht="15" x14ac:dyDescent="0.25">
      <c r="A68" s="26" t="s">
        <v>652</v>
      </c>
      <c r="B68" s="6" t="s">
        <v>432</v>
      </c>
      <c r="C68" s="7">
        <v>14950</v>
      </c>
      <c r="D68" s="7"/>
      <c r="E68" s="7">
        <f>C68-D68</f>
        <v>14950</v>
      </c>
      <c r="F68" s="7">
        <v>13318</v>
      </c>
      <c r="G68" s="7">
        <f>F68-C68</f>
        <v>-1632</v>
      </c>
      <c r="H68" s="84">
        <f>F68/C68</f>
        <v>0.89083612040133775</v>
      </c>
      <c r="I68" s="84" t="e">
        <f>F68/D68</f>
        <v>#DIV/0!</v>
      </c>
    </row>
    <row r="69" spans="1:10" ht="15" x14ac:dyDescent="0.25">
      <c r="A69" s="21" t="s">
        <v>653</v>
      </c>
      <c r="B69" s="6" t="s">
        <v>434</v>
      </c>
      <c r="C69" s="7">
        <v>10100</v>
      </c>
      <c r="D69" s="7"/>
      <c r="E69" s="7">
        <f>C69-D69</f>
        <v>10100</v>
      </c>
      <c r="F69" s="7">
        <v>6200</v>
      </c>
      <c r="G69" s="7">
        <f>F69-C69</f>
        <v>-3900</v>
      </c>
      <c r="H69" s="84">
        <f>F69/C69</f>
        <v>0.61386138613861385</v>
      </c>
      <c r="I69" s="84" t="e">
        <f>F69/D69</f>
        <v>#DIV/0!</v>
      </c>
    </row>
    <row r="70" spans="1:10" ht="15" x14ac:dyDescent="0.25">
      <c r="A70" s="26" t="s">
        <v>654</v>
      </c>
      <c r="B70" s="6" t="s">
        <v>111</v>
      </c>
      <c r="C70" s="7">
        <v>185800</v>
      </c>
      <c r="D70" s="7"/>
      <c r="E70" s="7">
        <f>C70-D70</f>
        <v>185800</v>
      </c>
      <c r="F70" s="7">
        <v>202422</v>
      </c>
      <c r="G70" s="7">
        <f>F70-C70</f>
        <v>16622</v>
      </c>
      <c r="H70" s="84">
        <f>F70/C70</f>
        <v>1.0894617868675995</v>
      </c>
      <c r="I70" s="84" t="e">
        <f>F70/D70</f>
        <v>#DIV/0!</v>
      </c>
    </row>
    <row r="71" spans="1:10" ht="15" x14ac:dyDescent="0.25">
      <c r="A71" s="26" t="s">
        <v>655</v>
      </c>
      <c r="B71" s="6" t="s">
        <v>293</v>
      </c>
      <c r="C71" s="7">
        <v>98000</v>
      </c>
      <c r="D71" s="7"/>
      <c r="E71" s="7">
        <f>C71-D71</f>
        <v>98000</v>
      </c>
      <c r="F71" s="7">
        <v>41400</v>
      </c>
      <c r="G71" s="7">
        <f>F71-C71</f>
        <v>-56600</v>
      </c>
      <c r="H71" s="84">
        <f>F71/C71</f>
        <v>0.42244897959183675</v>
      </c>
      <c r="I71" s="84" t="e">
        <f>F71/D71</f>
        <v>#DIV/0!</v>
      </c>
    </row>
    <row r="72" spans="1:10" ht="15" x14ac:dyDescent="0.25">
      <c r="A72" s="26"/>
      <c r="B72" s="6"/>
      <c r="C72" s="7"/>
      <c r="D72" s="7"/>
      <c r="E72" s="7"/>
      <c r="F72" s="7">
        <v>0</v>
      </c>
      <c r="G72" s="7"/>
      <c r="H72" s="84"/>
      <c r="I72" s="84" t="e">
        <f>F72/D72</f>
        <v>#DIV/0!</v>
      </c>
    </row>
    <row r="73" spans="1:10" ht="15" x14ac:dyDescent="0.25">
      <c r="A73" s="26" t="s">
        <v>656</v>
      </c>
      <c r="B73" s="6" t="s">
        <v>657</v>
      </c>
      <c r="C73" s="7">
        <v>0</v>
      </c>
      <c r="D73" s="7"/>
      <c r="E73" s="7">
        <f t="shared" si="5"/>
        <v>0</v>
      </c>
      <c r="F73" s="7">
        <v>0</v>
      </c>
      <c r="G73" s="7">
        <f t="shared" si="6"/>
        <v>0</v>
      </c>
      <c r="H73" s="84" t="e">
        <f t="shared" si="7"/>
        <v>#DIV/0!</v>
      </c>
      <c r="I73" s="84" t="e">
        <f t="shared" si="8"/>
        <v>#DIV/0!</v>
      </c>
    </row>
    <row r="74" spans="1:10" ht="15" x14ac:dyDescent="0.25">
      <c r="A74" s="26" t="s">
        <v>658</v>
      </c>
      <c r="B74" s="6" t="s">
        <v>370</v>
      </c>
      <c r="C74" s="7">
        <v>0</v>
      </c>
      <c r="D74" s="7"/>
      <c r="E74" s="7">
        <f t="shared" si="5"/>
        <v>0</v>
      </c>
      <c r="F74" s="7">
        <v>0</v>
      </c>
      <c r="G74" s="7">
        <f t="shared" si="6"/>
        <v>0</v>
      </c>
      <c r="H74" s="84" t="e">
        <f t="shared" si="7"/>
        <v>#DIV/0!</v>
      </c>
      <c r="I74" s="84" t="e">
        <f t="shared" si="8"/>
        <v>#DIV/0!</v>
      </c>
    </row>
    <row r="75" spans="1:10" ht="15" x14ac:dyDescent="0.25">
      <c r="A75" s="26" t="s">
        <v>659</v>
      </c>
      <c r="B75" s="6" t="s">
        <v>660</v>
      </c>
      <c r="C75" s="7">
        <v>2750</v>
      </c>
      <c r="D75" s="7"/>
      <c r="E75" s="7">
        <f t="shared" si="5"/>
        <v>2750</v>
      </c>
      <c r="F75" s="7">
        <v>3000</v>
      </c>
      <c r="G75" s="7">
        <f t="shared" si="6"/>
        <v>250</v>
      </c>
      <c r="H75" s="84">
        <f t="shared" si="7"/>
        <v>1.0909090909090908</v>
      </c>
      <c r="I75" s="84" t="e">
        <f t="shared" si="8"/>
        <v>#DIV/0!</v>
      </c>
    </row>
    <row r="76" spans="1:10" ht="15" x14ac:dyDescent="0.25">
      <c r="A76" s="26" t="s">
        <v>661</v>
      </c>
      <c r="B76" s="6" t="s">
        <v>662</v>
      </c>
      <c r="C76" s="7">
        <v>2000</v>
      </c>
      <c r="D76" s="7"/>
      <c r="E76" s="7">
        <f t="shared" si="5"/>
        <v>2000</v>
      </c>
      <c r="F76" s="7">
        <v>2000</v>
      </c>
      <c r="G76" s="7">
        <f t="shared" si="6"/>
        <v>0</v>
      </c>
      <c r="H76" s="84">
        <f t="shared" si="7"/>
        <v>1</v>
      </c>
      <c r="I76" s="84" t="e">
        <f t="shared" si="8"/>
        <v>#DIV/0!</v>
      </c>
    </row>
    <row r="77" spans="1:10" ht="15" x14ac:dyDescent="0.25">
      <c r="A77" s="26" t="s">
        <v>663</v>
      </c>
      <c r="B77" s="6" t="s">
        <v>664</v>
      </c>
      <c r="C77" s="7">
        <v>5000</v>
      </c>
      <c r="D77" s="7"/>
      <c r="E77" s="7">
        <f t="shared" si="5"/>
        <v>5000</v>
      </c>
      <c r="F77" s="7">
        <v>4000</v>
      </c>
      <c r="G77" s="7">
        <f t="shared" si="6"/>
        <v>-1000</v>
      </c>
      <c r="H77" s="84">
        <f t="shared" si="7"/>
        <v>0.8</v>
      </c>
      <c r="I77" s="84" t="e">
        <f t="shared" si="8"/>
        <v>#DIV/0!</v>
      </c>
    </row>
    <row r="78" spans="1:10" ht="15" x14ac:dyDescent="0.25">
      <c r="A78" s="26" t="s">
        <v>665</v>
      </c>
      <c r="B78" s="6" t="s">
        <v>666</v>
      </c>
      <c r="C78" s="7">
        <v>12391</v>
      </c>
      <c r="D78" s="7"/>
      <c r="E78" s="7">
        <f t="shared" si="5"/>
        <v>12391</v>
      </c>
      <c r="F78" s="7">
        <v>13093</v>
      </c>
      <c r="G78" s="7">
        <f t="shared" si="6"/>
        <v>702</v>
      </c>
      <c r="H78" s="84">
        <f t="shared" si="7"/>
        <v>1.0566540230812687</v>
      </c>
      <c r="I78" s="84" t="e">
        <f t="shared" si="8"/>
        <v>#DIV/0!</v>
      </c>
    </row>
    <row r="79" spans="1:10" ht="15" x14ac:dyDescent="0.25">
      <c r="A79" s="26" t="s">
        <v>667</v>
      </c>
      <c r="B79" s="6" t="s">
        <v>57</v>
      </c>
      <c r="C79" s="7">
        <v>960</v>
      </c>
      <c r="D79" s="7"/>
      <c r="E79" s="7">
        <f t="shared" si="5"/>
        <v>960</v>
      </c>
      <c r="F79" s="7">
        <v>1015</v>
      </c>
      <c r="G79" s="7">
        <f t="shared" si="6"/>
        <v>55</v>
      </c>
      <c r="H79" s="84">
        <f t="shared" si="7"/>
        <v>1.0572916666666667</v>
      </c>
      <c r="I79" s="84" t="e">
        <f t="shared" si="8"/>
        <v>#DIV/0!</v>
      </c>
    </row>
    <row r="80" spans="1:10" ht="15" x14ac:dyDescent="0.25">
      <c r="A80" s="26" t="s">
        <v>668</v>
      </c>
      <c r="B80" s="6" t="s">
        <v>604</v>
      </c>
      <c r="C80" s="7">
        <v>242</v>
      </c>
      <c r="D80" s="7"/>
      <c r="E80" s="7">
        <f t="shared" si="5"/>
        <v>242</v>
      </c>
      <c r="F80" s="7">
        <v>256</v>
      </c>
      <c r="G80" s="7">
        <f t="shared" si="6"/>
        <v>14</v>
      </c>
      <c r="H80" s="84">
        <f t="shared" si="7"/>
        <v>1.0578512396694215</v>
      </c>
      <c r="I80" s="84" t="e">
        <f t="shared" si="8"/>
        <v>#DIV/0!</v>
      </c>
    </row>
    <row r="81" spans="1:9" ht="15" x14ac:dyDescent="0.25">
      <c r="A81" s="26" t="s">
        <v>669</v>
      </c>
      <c r="B81" s="6" t="s">
        <v>606</v>
      </c>
      <c r="C81" s="7">
        <v>403</v>
      </c>
      <c r="D81" s="7"/>
      <c r="E81" s="7">
        <f t="shared" si="5"/>
        <v>403</v>
      </c>
      <c r="F81" s="7">
        <v>413</v>
      </c>
      <c r="G81" s="7">
        <f t="shared" si="6"/>
        <v>10</v>
      </c>
      <c r="H81" s="84">
        <f t="shared" si="7"/>
        <v>1.0248138957816377</v>
      </c>
      <c r="I81" s="84" t="e">
        <f t="shared" si="8"/>
        <v>#DIV/0!</v>
      </c>
    </row>
    <row r="82" spans="1:9" ht="15" x14ac:dyDescent="0.25">
      <c r="A82" s="26" t="s">
        <v>670</v>
      </c>
      <c r="B82" s="6" t="s">
        <v>671</v>
      </c>
      <c r="C82" s="7">
        <v>1500</v>
      </c>
      <c r="D82" s="7"/>
      <c r="E82" s="7">
        <f>C82-D82</f>
        <v>1500</v>
      </c>
      <c r="F82" s="7">
        <v>1000</v>
      </c>
      <c r="G82" s="7">
        <f t="shared" si="6"/>
        <v>-500</v>
      </c>
      <c r="H82" s="84">
        <f t="shared" si="7"/>
        <v>0.66666666666666663</v>
      </c>
      <c r="I82" s="84" t="e">
        <f t="shared" si="8"/>
        <v>#DIV/0!</v>
      </c>
    </row>
    <row r="83" spans="1:9" ht="15" x14ac:dyDescent="0.25">
      <c r="A83" s="26" t="s">
        <v>672</v>
      </c>
      <c r="B83" s="6" t="s">
        <v>673</v>
      </c>
      <c r="C83" s="7">
        <v>25000</v>
      </c>
      <c r="D83" s="7"/>
      <c r="E83" s="7">
        <f t="shared" si="5"/>
        <v>25000</v>
      </c>
      <c r="F83" s="7">
        <v>25000</v>
      </c>
      <c r="G83" s="7">
        <f t="shared" si="6"/>
        <v>0</v>
      </c>
      <c r="H83" s="84">
        <f t="shared" si="7"/>
        <v>1</v>
      </c>
      <c r="I83" s="84" t="e">
        <f t="shared" si="8"/>
        <v>#DIV/0!</v>
      </c>
    </row>
    <row r="84" spans="1:9" ht="15" x14ac:dyDescent="0.25">
      <c r="A84" s="28" t="s">
        <v>674</v>
      </c>
      <c r="B84" s="6" t="s">
        <v>675</v>
      </c>
      <c r="C84" s="7">
        <v>3000</v>
      </c>
      <c r="D84" s="7"/>
      <c r="E84" s="7">
        <f t="shared" si="5"/>
        <v>3000</v>
      </c>
      <c r="F84" s="7">
        <v>2500</v>
      </c>
      <c r="G84" s="7">
        <f t="shared" si="6"/>
        <v>-500</v>
      </c>
      <c r="H84" s="84">
        <f t="shared" si="7"/>
        <v>0.83333333333333337</v>
      </c>
      <c r="I84" s="84" t="e">
        <f t="shared" si="8"/>
        <v>#DIV/0!</v>
      </c>
    </row>
    <row r="85" spans="1:9" ht="15" x14ac:dyDescent="0.25">
      <c r="A85" s="21" t="s">
        <v>676</v>
      </c>
      <c r="B85" s="6" t="s">
        <v>677</v>
      </c>
      <c r="C85" s="7">
        <v>6000</v>
      </c>
      <c r="D85" s="7"/>
      <c r="E85" s="7">
        <f t="shared" si="5"/>
        <v>6000</v>
      </c>
      <c r="F85" s="7">
        <v>6000</v>
      </c>
      <c r="G85" s="7">
        <f t="shared" si="6"/>
        <v>0</v>
      </c>
      <c r="H85" s="84">
        <f t="shared" si="7"/>
        <v>1</v>
      </c>
      <c r="I85" s="84" t="e">
        <f t="shared" si="8"/>
        <v>#DIV/0!</v>
      </c>
    </row>
    <row r="86" spans="1:9" s="4" customFormat="1" ht="15" x14ac:dyDescent="0.25">
      <c r="A86" s="21" t="s">
        <v>678</v>
      </c>
      <c r="B86" s="6" t="s">
        <v>679</v>
      </c>
      <c r="C86" s="7">
        <v>5000</v>
      </c>
      <c r="D86" s="7"/>
      <c r="E86" s="7">
        <f>C86-D86</f>
        <v>5000</v>
      </c>
      <c r="F86" s="7">
        <v>4500</v>
      </c>
      <c r="G86" s="7">
        <f t="shared" si="6"/>
        <v>-500</v>
      </c>
      <c r="H86" s="84">
        <f t="shared" si="7"/>
        <v>0.9</v>
      </c>
      <c r="I86" s="84" t="e">
        <f t="shared" si="8"/>
        <v>#DIV/0!</v>
      </c>
    </row>
    <row r="87" spans="1:9" s="4" customFormat="1" ht="15" x14ac:dyDescent="0.25">
      <c r="A87" s="21"/>
      <c r="B87" s="6"/>
      <c r="C87" s="7"/>
      <c r="D87" s="7"/>
      <c r="E87" s="7"/>
      <c r="F87" s="7">
        <v>0</v>
      </c>
      <c r="G87" s="7"/>
      <c r="H87" s="84"/>
      <c r="I87" s="84" t="e">
        <f t="shared" si="8"/>
        <v>#DIV/0!</v>
      </c>
    </row>
    <row r="88" spans="1:9" ht="15" x14ac:dyDescent="0.25">
      <c r="A88" s="26" t="s">
        <v>680</v>
      </c>
      <c r="B88" s="6" t="s">
        <v>681</v>
      </c>
      <c r="C88" s="7">
        <v>3000</v>
      </c>
      <c r="D88" s="7"/>
      <c r="E88" s="7">
        <f t="shared" si="5"/>
        <v>3000</v>
      </c>
      <c r="F88" s="7">
        <v>2000</v>
      </c>
      <c r="G88" s="7">
        <f t="shared" si="6"/>
        <v>-1000</v>
      </c>
      <c r="H88" s="84">
        <f t="shared" si="7"/>
        <v>0.66666666666666663</v>
      </c>
      <c r="I88" s="84" t="e">
        <f t="shared" si="8"/>
        <v>#DIV/0!</v>
      </c>
    </row>
    <row r="89" spans="1:9" ht="15" x14ac:dyDescent="0.25">
      <c r="A89" s="26" t="s">
        <v>682</v>
      </c>
      <c r="B89" s="6" t="s">
        <v>683</v>
      </c>
      <c r="C89" s="7">
        <v>1200</v>
      </c>
      <c r="D89" s="7"/>
      <c r="E89" s="7">
        <f t="shared" si="5"/>
        <v>1200</v>
      </c>
      <c r="F89" s="7">
        <v>1600</v>
      </c>
      <c r="G89" s="7">
        <f t="shared" si="6"/>
        <v>400</v>
      </c>
      <c r="H89" s="84">
        <f t="shared" si="7"/>
        <v>1.3333333333333333</v>
      </c>
      <c r="I89" s="84" t="e">
        <f t="shared" si="8"/>
        <v>#DIV/0!</v>
      </c>
    </row>
    <row r="90" spans="1:9" ht="15" x14ac:dyDescent="0.25">
      <c r="A90" s="26" t="s">
        <v>684</v>
      </c>
      <c r="B90" s="6" t="s">
        <v>370</v>
      </c>
      <c r="C90" s="7">
        <v>1200</v>
      </c>
      <c r="D90" s="7"/>
      <c r="E90" s="7">
        <f t="shared" si="5"/>
        <v>1200</v>
      </c>
      <c r="F90" s="7">
        <v>960</v>
      </c>
      <c r="G90" s="7">
        <f t="shared" si="6"/>
        <v>-240</v>
      </c>
      <c r="H90" s="84">
        <f t="shared" si="7"/>
        <v>0.8</v>
      </c>
      <c r="I90" s="84" t="e">
        <f t="shared" si="8"/>
        <v>#DIV/0!</v>
      </c>
    </row>
    <row r="91" spans="1:9" ht="15" x14ac:dyDescent="0.25">
      <c r="A91" s="26" t="s">
        <v>685</v>
      </c>
      <c r="B91" s="6" t="s">
        <v>85</v>
      </c>
      <c r="C91" s="7">
        <v>0</v>
      </c>
      <c r="D91" s="7"/>
      <c r="E91" s="7">
        <f t="shared" si="5"/>
        <v>0</v>
      </c>
      <c r="F91" s="7">
        <v>0</v>
      </c>
      <c r="G91" s="7">
        <f t="shared" si="6"/>
        <v>0</v>
      </c>
      <c r="H91" s="84" t="e">
        <f t="shared" si="7"/>
        <v>#DIV/0!</v>
      </c>
      <c r="I91" s="84" t="e">
        <f t="shared" si="8"/>
        <v>#DIV/0!</v>
      </c>
    </row>
    <row r="92" spans="1:9" ht="15" x14ac:dyDescent="0.25">
      <c r="A92" s="26" t="s">
        <v>686</v>
      </c>
      <c r="B92" s="6" t="s">
        <v>87</v>
      </c>
      <c r="C92" s="7">
        <v>2795</v>
      </c>
      <c r="D92" s="7"/>
      <c r="E92" s="7">
        <f t="shared" si="5"/>
        <v>2795</v>
      </c>
      <c r="F92" s="7">
        <v>2935</v>
      </c>
      <c r="G92" s="7">
        <f t="shared" si="6"/>
        <v>140</v>
      </c>
      <c r="H92" s="84">
        <f t="shared" si="7"/>
        <v>1.0500894454382828</v>
      </c>
      <c r="I92" s="84" t="e">
        <f t="shared" si="8"/>
        <v>#DIV/0!</v>
      </c>
    </row>
    <row r="93" spans="1:9" ht="15" x14ac:dyDescent="0.25">
      <c r="A93" s="26" t="s">
        <v>687</v>
      </c>
      <c r="B93" s="6" t="s">
        <v>688</v>
      </c>
      <c r="C93" s="7">
        <v>3500</v>
      </c>
      <c r="D93" s="7"/>
      <c r="E93" s="7">
        <f t="shared" si="5"/>
        <v>3500</v>
      </c>
      <c r="F93" s="7">
        <v>3250</v>
      </c>
      <c r="G93" s="7">
        <f t="shared" si="6"/>
        <v>-250</v>
      </c>
      <c r="H93" s="84">
        <f t="shared" si="7"/>
        <v>0.9285714285714286</v>
      </c>
      <c r="I93" s="84" t="e">
        <f t="shared" si="8"/>
        <v>#DIV/0!</v>
      </c>
    </row>
    <row r="94" spans="1:9" ht="15" x14ac:dyDescent="0.25">
      <c r="A94" s="26"/>
      <c r="B94" s="6"/>
      <c r="C94" s="7"/>
      <c r="D94" s="7"/>
      <c r="E94" s="7"/>
      <c r="F94" s="7">
        <v>0</v>
      </c>
      <c r="G94" s="7"/>
      <c r="H94" s="84"/>
      <c r="I94" s="84" t="e">
        <f t="shared" si="8"/>
        <v>#DIV/0!</v>
      </c>
    </row>
    <row r="95" spans="1:9" ht="15" x14ac:dyDescent="0.25">
      <c r="A95" s="26" t="s">
        <v>689</v>
      </c>
      <c r="B95" s="6" t="s">
        <v>690</v>
      </c>
      <c r="C95" s="7">
        <v>5000</v>
      </c>
      <c r="D95" s="7"/>
      <c r="E95" s="7">
        <f t="shared" si="5"/>
        <v>5000</v>
      </c>
      <c r="F95" s="7">
        <v>4500</v>
      </c>
      <c r="G95" s="7">
        <f t="shared" si="6"/>
        <v>-500</v>
      </c>
      <c r="H95" s="84">
        <f t="shared" si="7"/>
        <v>0.9</v>
      </c>
      <c r="I95" s="84" t="e">
        <f t="shared" si="8"/>
        <v>#DIV/0!</v>
      </c>
    </row>
    <row r="96" spans="1:9" ht="15" x14ac:dyDescent="0.25">
      <c r="A96" s="26" t="s">
        <v>691</v>
      </c>
      <c r="B96" s="6" t="s">
        <v>692</v>
      </c>
      <c r="C96" s="7">
        <v>2800</v>
      </c>
      <c r="D96" s="7"/>
      <c r="E96" s="7">
        <f t="shared" si="5"/>
        <v>2800</v>
      </c>
      <c r="F96" s="7">
        <v>2300</v>
      </c>
      <c r="G96" s="7">
        <f t="shared" si="6"/>
        <v>-500</v>
      </c>
      <c r="H96" s="84">
        <f t="shared" si="7"/>
        <v>0.8214285714285714</v>
      </c>
      <c r="I96" s="84" t="e">
        <f t="shared" si="8"/>
        <v>#DIV/0!</v>
      </c>
    </row>
    <row r="97" spans="1:9" ht="15" x14ac:dyDescent="0.25">
      <c r="A97" s="26" t="s">
        <v>693</v>
      </c>
      <c r="B97" s="6" t="s">
        <v>370</v>
      </c>
      <c r="C97" s="7">
        <v>1100</v>
      </c>
      <c r="D97" s="7"/>
      <c r="E97" s="7">
        <f t="shared" si="5"/>
        <v>1100</v>
      </c>
      <c r="F97" s="7">
        <v>1200</v>
      </c>
      <c r="G97" s="7">
        <f t="shared" si="6"/>
        <v>100</v>
      </c>
      <c r="H97" s="84">
        <f t="shared" si="7"/>
        <v>1.0909090909090908</v>
      </c>
      <c r="I97" s="84" t="e">
        <f t="shared" si="8"/>
        <v>#DIV/0!</v>
      </c>
    </row>
    <row r="98" spans="1:9" ht="15" x14ac:dyDescent="0.25">
      <c r="A98" s="26" t="s">
        <v>694</v>
      </c>
      <c r="B98" s="6" t="s">
        <v>85</v>
      </c>
      <c r="C98" s="7">
        <v>0</v>
      </c>
      <c r="D98" s="7"/>
      <c r="E98" s="7">
        <f t="shared" si="5"/>
        <v>0</v>
      </c>
      <c r="F98" s="7">
        <v>0</v>
      </c>
      <c r="G98" s="7">
        <f t="shared" ref="G98" si="9">F98-C98</f>
        <v>0</v>
      </c>
      <c r="H98" s="84" t="e">
        <f t="shared" ref="H98" si="10">F98/C98</f>
        <v>#DIV/0!</v>
      </c>
      <c r="I98" s="84" t="e">
        <f t="shared" ref="I98" si="11">F98/D98</f>
        <v>#DIV/0!</v>
      </c>
    </row>
    <row r="99" spans="1:9" ht="15" x14ac:dyDescent="0.25">
      <c r="A99" s="26" t="s">
        <v>695</v>
      </c>
      <c r="B99" s="6" t="s">
        <v>87</v>
      </c>
      <c r="C99" s="7">
        <v>5493</v>
      </c>
      <c r="D99" s="7"/>
      <c r="E99" s="7">
        <f t="shared" si="5"/>
        <v>5493</v>
      </c>
      <c r="F99" s="7">
        <v>5768</v>
      </c>
      <c r="G99" s="7">
        <f t="shared" si="6"/>
        <v>275</v>
      </c>
      <c r="H99" s="84">
        <f t="shared" si="7"/>
        <v>1.0500637174585836</v>
      </c>
      <c r="I99" s="84" t="e">
        <f t="shared" si="8"/>
        <v>#DIV/0!</v>
      </c>
    </row>
    <row r="100" spans="1:9" ht="15" x14ac:dyDescent="0.25">
      <c r="A100" s="26" t="s">
        <v>696</v>
      </c>
      <c r="B100" s="6" t="s">
        <v>95</v>
      </c>
      <c r="C100" s="7">
        <v>0</v>
      </c>
      <c r="D100" s="7"/>
      <c r="E100" s="7">
        <f t="shared" si="5"/>
        <v>0</v>
      </c>
      <c r="F100" s="7">
        <v>0</v>
      </c>
      <c r="G100" s="7">
        <f t="shared" si="6"/>
        <v>0</v>
      </c>
      <c r="H100" s="84" t="e">
        <f t="shared" si="7"/>
        <v>#DIV/0!</v>
      </c>
      <c r="I100" s="84" t="e">
        <f t="shared" si="8"/>
        <v>#DIV/0!</v>
      </c>
    </row>
    <row r="101" spans="1:9" ht="15" x14ac:dyDescent="0.25">
      <c r="A101" s="26" t="s">
        <v>697</v>
      </c>
      <c r="B101" s="6" t="s">
        <v>698</v>
      </c>
      <c r="C101" s="7">
        <v>4500</v>
      </c>
      <c r="D101" s="7"/>
      <c r="E101" s="7">
        <f t="shared" si="5"/>
        <v>4500</v>
      </c>
      <c r="F101" s="7">
        <v>5500</v>
      </c>
      <c r="G101" s="7">
        <f t="shared" si="6"/>
        <v>1000</v>
      </c>
      <c r="H101" s="84">
        <f t="shared" si="7"/>
        <v>1.2222222222222223</v>
      </c>
      <c r="I101" s="84" t="e">
        <f t="shared" si="8"/>
        <v>#DIV/0!</v>
      </c>
    </row>
    <row r="102" spans="1:9" ht="15" x14ac:dyDescent="0.25">
      <c r="A102" s="26" t="s">
        <v>699</v>
      </c>
      <c r="B102" s="6" t="s">
        <v>700</v>
      </c>
      <c r="C102" s="7">
        <v>250</v>
      </c>
      <c r="D102" s="7"/>
      <c r="E102" s="7">
        <f t="shared" si="5"/>
        <v>250</v>
      </c>
      <c r="F102" s="7">
        <v>275</v>
      </c>
      <c r="G102" s="7">
        <f t="shared" si="6"/>
        <v>25</v>
      </c>
      <c r="H102" s="84">
        <f t="shared" si="7"/>
        <v>1.1000000000000001</v>
      </c>
      <c r="I102" s="84" t="e">
        <f t="shared" si="8"/>
        <v>#DIV/0!</v>
      </c>
    </row>
    <row r="103" spans="1:9" ht="15" x14ac:dyDescent="0.25">
      <c r="A103" s="26" t="s">
        <v>701</v>
      </c>
      <c r="B103" s="6" t="s">
        <v>702</v>
      </c>
      <c r="C103" s="7">
        <v>0</v>
      </c>
      <c r="D103" s="7"/>
      <c r="E103" s="7">
        <f t="shared" si="5"/>
        <v>0</v>
      </c>
      <c r="F103" s="43">
        <v>0</v>
      </c>
      <c r="G103" s="7">
        <f t="shared" si="6"/>
        <v>0</v>
      </c>
      <c r="H103" s="84" t="e">
        <f t="shared" si="7"/>
        <v>#DIV/0!</v>
      </c>
      <c r="I103" s="84" t="e">
        <f t="shared" si="8"/>
        <v>#DIV/0!</v>
      </c>
    </row>
    <row r="104" spans="1:9" ht="15" x14ac:dyDescent="0.25">
      <c r="A104" s="6"/>
      <c r="B104" s="6"/>
      <c r="C104" s="7"/>
      <c r="D104" s="7"/>
      <c r="E104" s="7"/>
      <c r="F104" s="7"/>
      <c r="G104" s="7"/>
      <c r="H104" s="84"/>
      <c r="I104" s="84"/>
    </row>
    <row r="105" spans="1:9" ht="15" x14ac:dyDescent="0.25">
      <c r="A105" s="24" t="s">
        <v>162</v>
      </c>
      <c r="B105" s="6"/>
      <c r="C105" s="7">
        <f>SUM(C34:C104)</f>
        <v>1588383</v>
      </c>
      <c r="D105" s="7">
        <f>SUM(D34:D104)</f>
        <v>0</v>
      </c>
      <c r="E105" s="7">
        <f>SUM(E34:E104)</f>
        <v>1588383</v>
      </c>
      <c r="F105" s="7">
        <f>SUM(F34:F104)</f>
        <v>1652261</v>
      </c>
      <c r="G105" s="7">
        <f>SUM(G34:G104)</f>
        <v>63878</v>
      </c>
      <c r="H105" s="84">
        <f t="shared" si="7"/>
        <v>1.0402157414175297</v>
      </c>
      <c r="I105" s="84" t="e">
        <f t="shared" si="8"/>
        <v>#DIV/0!</v>
      </c>
    </row>
    <row r="106" spans="1:9" ht="15" x14ac:dyDescent="0.25">
      <c r="A106" s="6"/>
      <c r="B106" s="6"/>
      <c r="C106" s="7"/>
      <c r="D106" s="7"/>
      <c r="E106" s="7"/>
      <c r="F106" s="7"/>
      <c r="G106" s="7"/>
      <c r="H106" s="84"/>
      <c r="I106" s="84"/>
    </row>
    <row r="107" spans="1:9" ht="15" x14ac:dyDescent="0.25">
      <c r="A107" s="24" t="s">
        <v>166</v>
      </c>
      <c r="B107" s="6"/>
      <c r="C107" s="7">
        <f>SUM(C30+C105)</f>
        <v>960376</v>
      </c>
      <c r="D107" s="7">
        <f>SUM(D30+D105)</f>
        <v>0</v>
      </c>
      <c r="E107" s="7">
        <f>SUM(E30+E105)</f>
        <v>960376</v>
      </c>
      <c r="F107" s="7">
        <f>SUM(F30+F105)</f>
        <v>1073846</v>
      </c>
      <c r="G107" s="7">
        <f>SUM(G30+G105)</f>
        <v>113470</v>
      </c>
      <c r="H107" s="84">
        <f t="shared" si="7"/>
        <v>1.1181516406074288</v>
      </c>
      <c r="I107" s="84" t="e">
        <f t="shared" si="8"/>
        <v>#DIV/0!</v>
      </c>
    </row>
  </sheetData>
  <mergeCells count="1">
    <mergeCell ref="A1:G1"/>
  </mergeCells>
  <phoneticPr fontId="1" type="noConversion"/>
  <conditionalFormatting sqref="A7:A21 A33:A65 A68:A69 A26 A29 A31">
    <cfRule type="expression" dxfId="58" priority="535" stopIfTrue="1">
      <formula>AND(COUNTIF($A$1:$A$375, A7)&gt;1,NOT(ISBLANK(A7)))</formula>
    </cfRule>
  </conditionalFormatting>
  <conditionalFormatting sqref="A22:A24 A73:A94">
    <cfRule type="expression" dxfId="57" priority="21" stopIfTrue="1">
      <formula>AND(COUNTIF($A$1:$A$377, A22)&gt;1,NOT(ISBLANK(A22)))</formula>
    </cfRule>
  </conditionalFormatting>
  <conditionalFormatting sqref="A24 A90:A98 A66">
    <cfRule type="expression" dxfId="56" priority="428" stopIfTrue="1">
      <formula>AND(COUNTIF($A$1:$A$372, A24)&gt;1,NOT(ISBLANK(A24)))</formula>
    </cfRule>
  </conditionalFormatting>
  <conditionalFormatting sqref="A25 A68 A95:A103 A105 A107">
    <cfRule type="expression" dxfId="55" priority="19" stopIfTrue="1">
      <formula>AND(COUNTIF($A$1:$A$376, A25)&gt;1,NOT(ISBLANK(A25)))</formula>
    </cfRule>
  </conditionalFormatting>
  <conditionalFormatting sqref="A25">
    <cfRule type="expression" dxfId="54" priority="563" stopIfTrue="1">
      <formula>AND(COUNTIF($A$1:$A$371, A25)&gt;1,NOT(ISBLANK(A25)))</formula>
    </cfRule>
  </conditionalFormatting>
  <conditionalFormatting sqref="A26:A28">
    <cfRule type="expression" dxfId="53" priority="564" stopIfTrue="1">
      <formula>AND(COUNTIF($A$1:$A$366, A26)&gt;1,NOT(ISBLANK(A26)))</formula>
    </cfRule>
  </conditionalFormatting>
  <conditionalFormatting sqref="A27:A28">
    <cfRule type="expression" dxfId="52" priority="536" stopIfTrue="1">
      <formula>AND(COUNTIF($A$1:$A$370, A27)&gt;1,NOT(ISBLANK(A27)))</formula>
    </cfRule>
  </conditionalFormatting>
  <conditionalFormatting sqref="A34:A67 A7:A21 A30 A32 A69">
    <cfRule type="expression" dxfId="51" priority="512" stopIfTrue="1">
      <formula>AND(COUNTIF($A$1:$A$379, A7)&gt;1,NOT(ISBLANK(A7)))</formula>
    </cfRule>
  </conditionalFormatting>
  <conditionalFormatting sqref="A67 A22:A23 A70:A89">
    <cfRule type="expression" dxfId="50" priority="521" stopIfTrue="1">
      <formula>AND(COUNTIF($A$1:$A$373, A22)&gt;1,NOT(ISBLANK(A22)))</formula>
    </cfRule>
  </conditionalFormatting>
  <conditionalFormatting sqref="A70:A72">
    <cfRule type="expression" dxfId="49" priority="555" stopIfTrue="1">
      <formula>AND(COUNTIF($A$1:$A$368, A70)&gt;1,NOT(ISBLANK(A70)))</formula>
    </cfRule>
  </conditionalFormatting>
  <conditionalFormatting sqref="A99:A103">
    <cfRule type="expression" dxfId="48" priority="562" stopIfTrue="1">
      <formula>AND(COUNTIF($A$1:$A$369, A99)&gt;1,NOT(ISBLANK(A99)))</formula>
    </cfRule>
  </conditionalFormatting>
  <pageMargins left="0.74803149606299213" right="0.74803149606299213" top="0.98425196850393704" bottom="0.98425196850393704" header="0.51181102362204722" footer="0.51181102362204722"/>
  <pageSetup scale="6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Summary</vt:lpstr>
      <vt:lpstr>Bldg ByLaw Accts</vt:lpstr>
      <vt:lpstr>Cons Auth Accts</vt:lpstr>
      <vt:lpstr>Emerg Planning Accts</vt:lpstr>
      <vt:lpstr>Fire Accts</vt:lpstr>
      <vt:lpstr>Gen Gov't Accts</vt:lpstr>
      <vt:lpstr>Health Accts</vt:lpstr>
      <vt:lpstr>Library Accts</vt:lpstr>
      <vt:lpstr>Parks and Rec Accts</vt:lpstr>
      <vt:lpstr>Planning Accts</vt:lpstr>
      <vt:lpstr>Police Services Accts</vt:lpstr>
      <vt:lpstr>Public Works Accts</vt:lpstr>
      <vt:lpstr>Waste Accts</vt:lpstr>
      <vt:lpstr>Building ByLaw</vt:lpstr>
      <vt:lpstr>Crowe Valley</vt:lpstr>
      <vt:lpstr>Emergency Planning</vt:lpstr>
      <vt:lpstr>Fire</vt:lpstr>
      <vt:lpstr>General Govt</vt:lpstr>
      <vt:lpstr>Health</vt:lpstr>
      <vt:lpstr>Library</vt:lpstr>
      <vt:lpstr>Parks and Rec</vt:lpstr>
      <vt:lpstr>Planning</vt:lpstr>
      <vt:lpstr>Policing</vt:lpstr>
      <vt:lpstr>Public Works</vt:lpstr>
      <vt:lpstr>Waste</vt:lpstr>
      <vt:lpstr>'Bldg ByLaw Accts'!Print_Area</vt:lpstr>
      <vt:lpstr>'Building ByLaw'!Print_Area</vt:lpstr>
      <vt:lpstr>'Cons Auth Accts'!Print_Area</vt:lpstr>
      <vt:lpstr>'Crowe Valley'!Print_Area</vt:lpstr>
      <vt:lpstr>'Emerg Planning Accts'!Print_Area</vt:lpstr>
      <vt:lpstr>'Emergency Planning'!Print_Area</vt:lpstr>
      <vt:lpstr>Fire!Print_Area</vt:lpstr>
      <vt:lpstr>'Fire Accts'!Print_Area</vt:lpstr>
      <vt:lpstr>'Gen Gov''t Accts'!Print_Area</vt:lpstr>
      <vt:lpstr>'General Govt'!Print_Area</vt:lpstr>
      <vt:lpstr>Health!Print_Area</vt:lpstr>
      <vt:lpstr>'Health Accts'!Print_Area</vt:lpstr>
      <vt:lpstr>Library!Print_Area</vt:lpstr>
      <vt:lpstr>'Library Accts'!Print_Area</vt:lpstr>
      <vt:lpstr>'Parks and Rec'!Print_Area</vt:lpstr>
      <vt:lpstr>'Parks and Rec Accts'!Print_Area</vt:lpstr>
      <vt:lpstr>Planning!Print_Area</vt:lpstr>
      <vt:lpstr>'Planning Accts'!Print_Area</vt:lpstr>
      <vt:lpstr>'Police Services Accts'!Print_Area</vt:lpstr>
      <vt:lpstr>Policing!Print_Area</vt:lpstr>
      <vt:lpstr>'Public Works'!Print_Area</vt:lpstr>
      <vt:lpstr>'Public Works Accts'!Print_Area</vt:lpstr>
      <vt:lpstr>Summary!Print_Area</vt:lpstr>
      <vt:lpstr>Waste!Print_Area</vt:lpstr>
      <vt:lpstr>'Waste Accts'!Print_Area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</dc:creator>
  <cp:keywords/>
  <dc:description/>
  <cp:lastModifiedBy>Kelly Picken</cp:lastModifiedBy>
  <cp:revision/>
  <cp:lastPrinted>2025-02-10T16:53:09Z</cp:lastPrinted>
  <dcterms:created xsi:type="dcterms:W3CDTF">2010-01-03T03:14:38Z</dcterms:created>
  <dcterms:modified xsi:type="dcterms:W3CDTF">2026-02-02T17:56:14Z</dcterms:modified>
  <cp:category/>
  <cp:contentStatus/>
</cp:coreProperties>
</file>